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 - Sisprom\Orçamentos_Sisprom\Poções\"/>
    </mc:Choice>
  </mc:AlternateContent>
  <xr:revisionPtr revIDLastSave="0" documentId="13_ncr:1_{B83D9287-52B7-40B0-934D-326CFC424A4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Planilha1" sheetId="2" r:id="rId2"/>
    <sheet name="Sheet1 (2)" sheetId="3" state="hidden" r:id="rId3"/>
  </sheets>
  <calcPr calcId="191029"/>
</workbook>
</file>

<file path=xl/calcChain.xml><?xml version="1.0" encoding="utf-8"?>
<calcChain xmlns="http://schemas.openxmlformats.org/spreadsheetml/2006/main">
  <c r="G55" i="2" l="1"/>
  <c r="F55" i="2"/>
  <c r="P22" i="2" l="1"/>
  <c r="L22" i="2"/>
  <c r="O22" i="2" s="1"/>
  <c r="P21" i="2"/>
  <c r="O21" i="2"/>
  <c r="M21" i="2"/>
  <c r="L21" i="2"/>
  <c r="N21" i="2" s="1"/>
  <c r="L19" i="2"/>
  <c r="P19" i="2" s="1"/>
  <c r="L6" i="2"/>
  <c r="N6" i="2" s="1"/>
  <c r="L5" i="2"/>
  <c r="P5" i="2" s="1"/>
  <c r="L12" i="2"/>
  <c r="N12" i="2" s="1"/>
  <c r="L11" i="2"/>
  <c r="N11" i="2" s="1"/>
  <c r="L10" i="2"/>
  <c r="P10" i="2" s="1"/>
  <c r="L9" i="2"/>
  <c r="O9" i="2" s="1"/>
  <c r="L8" i="2"/>
  <c r="N8" i="2" s="1"/>
  <c r="L7" i="2"/>
  <c r="N7" i="2" s="1"/>
  <c r="L4" i="2"/>
  <c r="P4" i="2" s="1"/>
  <c r="L3" i="2"/>
  <c r="P3" i="2" s="1"/>
  <c r="L16" i="2"/>
  <c r="N16" i="2" s="1"/>
  <c r="L15" i="2"/>
  <c r="N15" i="2" s="1"/>
  <c r="L14" i="2"/>
  <c r="P14" i="2" s="1"/>
  <c r="L13" i="2"/>
  <c r="P13" i="2" s="1"/>
  <c r="L18" i="2"/>
  <c r="O18" i="2" s="1"/>
  <c r="L17" i="2"/>
  <c r="M17" i="2" s="1"/>
  <c r="M22" i="2" l="1"/>
  <c r="O8" i="2"/>
  <c r="N22" i="2"/>
  <c r="O6" i="2"/>
  <c r="P6" i="2"/>
  <c r="O15" i="2"/>
  <c r="M19" i="2"/>
  <c r="N19" i="2"/>
  <c r="O19" i="2"/>
  <c r="M5" i="2"/>
  <c r="N5" i="2"/>
  <c r="P8" i="2"/>
  <c r="O12" i="2"/>
  <c r="O5" i="2"/>
  <c r="O16" i="2"/>
  <c r="M6" i="2"/>
  <c r="P12" i="2"/>
  <c r="P16" i="2"/>
  <c r="N10" i="2"/>
  <c r="M9" i="2"/>
  <c r="O3" i="2"/>
  <c r="M10" i="2"/>
  <c r="N9" i="2"/>
  <c r="P9" i="2"/>
  <c r="M7" i="2"/>
  <c r="M11" i="2"/>
  <c r="O14" i="2"/>
  <c r="O7" i="2"/>
  <c r="O11" i="2"/>
  <c r="P7" i="2"/>
  <c r="P11" i="2"/>
  <c r="P15" i="2"/>
  <c r="M8" i="2"/>
  <c r="M12" i="2"/>
  <c r="M3" i="2"/>
  <c r="N3" i="2"/>
  <c r="M4" i="2"/>
  <c r="N4" i="2"/>
  <c r="O4" i="2"/>
  <c r="O10" i="2"/>
  <c r="M13" i="2"/>
  <c r="N13" i="2"/>
  <c r="O13" i="2"/>
  <c r="M14" i="2"/>
  <c r="N14" i="2"/>
  <c r="M15" i="2"/>
  <c r="M16" i="2"/>
  <c r="P18" i="2"/>
  <c r="N17" i="2"/>
  <c r="P17" i="2"/>
  <c r="O17" i="2"/>
  <c r="M18" i="2"/>
  <c r="N18" i="2"/>
  <c r="L33" i="2" l="1"/>
  <c r="O33" i="2" s="1"/>
  <c r="L32" i="2"/>
  <c r="L23" i="2"/>
  <c r="P23" i="2" s="1"/>
  <c r="L20" i="2"/>
  <c r="L55" i="2"/>
  <c r="P55" i="2" s="1"/>
  <c r="I30" i="2"/>
  <c r="L30" i="2" s="1"/>
  <c r="O30" i="2" s="1"/>
  <c r="L31" i="2"/>
  <c r="O31" i="2" s="1"/>
  <c r="L72" i="2"/>
  <c r="M72" i="2" s="1"/>
  <c r="L71" i="2"/>
  <c r="N71" i="2" s="1"/>
  <c r="L70" i="2"/>
  <c r="O70" i="2" s="1"/>
  <c r="L64" i="2"/>
  <c r="L65" i="2" s="1"/>
  <c r="L46" i="2"/>
  <c r="L47" i="2" s="1"/>
  <c r="H6" i="1" s="1"/>
  <c r="L40" i="2"/>
  <c r="P40" i="2" s="1"/>
  <c r="L34" i="2"/>
  <c r="P34" i="2" s="1"/>
  <c r="L24" i="2"/>
  <c r="O24" i="2" s="1"/>
  <c r="N14" i="3"/>
  <c r="O16" i="3" s="1"/>
  <c r="L6" i="3"/>
  <c r="N6" i="3" s="1"/>
  <c r="L3" i="3"/>
  <c r="N3" i="3" s="1"/>
  <c r="L5" i="3"/>
  <c r="N5" i="3" s="1"/>
  <c r="L4" i="3"/>
  <c r="N4" i="3" s="1"/>
  <c r="F5" i="1"/>
  <c r="F4" i="1"/>
  <c r="F6" i="1"/>
  <c r="F7" i="1"/>
  <c r="F8" i="1"/>
  <c r="F10" i="1"/>
  <c r="F9" i="1"/>
  <c r="F11" i="1"/>
  <c r="F3" i="1"/>
  <c r="L25" i="2" l="1"/>
  <c r="P20" i="2"/>
  <c r="P33" i="2"/>
  <c r="O32" i="2"/>
  <c r="M32" i="2"/>
  <c r="P32" i="2"/>
  <c r="N32" i="2"/>
  <c r="M33" i="2"/>
  <c r="N33" i="2"/>
  <c r="N20" i="2"/>
  <c r="O20" i="2"/>
  <c r="N23" i="2"/>
  <c r="O23" i="2"/>
  <c r="M20" i="2"/>
  <c r="M23" i="2"/>
  <c r="N72" i="2"/>
  <c r="O46" i="2"/>
  <c r="O47" i="2" s="1"/>
  <c r="K6" i="1" s="1"/>
  <c r="O64" i="2"/>
  <c r="O65" i="2" s="1"/>
  <c r="P64" i="2"/>
  <c r="P46" i="2"/>
  <c r="P31" i="2"/>
  <c r="O40" i="2"/>
  <c r="O41" i="2" s="1"/>
  <c r="P24" i="2"/>
  <c r="O72" i="2"/>
  <c r="O71" i="2"/>
  <c r="P70" i="2"/>
  <c r="P72" i="2"/>
  <c r="P71" i="2"/>
  <c r="P30" i="2"/>
  <c r="O34" i="2"/>
  <c r="P56" i="2"/>
  <c r="P59" i="2" s="1"/>
  <c r="L8" i="1" s="1"/>
  <c r="L13" i="1" s="1"/>
  <c r="O55" i="2"/>
  <c r="O56" i="2" s="1"/>
  <c r="O59" i="2" s="1"/>
  <c r="K8" i="1" s="1"/>
  <c r="K13" i="1" s="1"/>
  <c r="M55" i="2"/>
  <c r="M70" i="2"/>
  <c r="M64" i="2"/>
  <c r="N64" i="2"/>
  <c r="N65" i="2" s="1"/>
  <c r="N70" i="2"/>
  <c r="M46" i="2"/>
  <c r="N46" i="2"/>
  <c r="N47" i="2" s="1"/>
  <c r="J6" i="1" s="1"/>
  <c r="N34" i="2"/>
  <c r="N24" i="2"/>
  <c r="M71" i="2"/>
  <c r="M24" i="2"/>
  <c r="M30" i="2"/>
  <c r="M34" i="2"/>
  <c r="N30" i="2"/>
  <c r="N55" i="2"/>
  <c r="M31" i="2"/>
  <c r="N31" i="2"/>
  <c r="N40" i="2"/>
  <c r="N41" i="2" s="1"/>
  <c r="M40" i="2"/>
  <c r="M41" i="2" s="1"/>
  <c r="P41" i="2"/>
  <c r="L73" i="2"/>
  <c r="L75" i="2" s="1"/>
  <c r="H9" i="1" s="1"/>
  <c r="L56" i="2"/>
  <c r="L59" i="2" s="1"/>
  <c r="L35" i="2"/>
  <c r="L41" i="2"/>
  <c r="N7" i="3"/>
  <c r="N15" i="3" s="1"/>
  <c r="F13" i="1"/>
  <c r="N9" i="1" s="1"/>
  <c r="M25" i="2" l="1"/>
  <c r="O25" i="2"/>
  <c r="N25" i="2"/>
  <c r="P25" i="2"/>
  <c r="H8" i="1"/>
  <c r="H13" i="1" s="1"/>
  <c r="O35" i="2"/>
  <c r="O73" i="2"/>
  <c r="O75" i="2" s="1"/>
  <c r="K9" i="1" s="1"/>
  <c r="N73" i="2"/>
  <c r="N75" i="2" s="1"/>
  <c r="J9" i="1" s="1"/>
  <c r="M56" i="2"/>
  <c r="M59" i="2" s="1"/>
  <c r="I8" i="1" s="1"/>
  <c r="I13" i="1" s="1"/>
  <c r="M73" i="2"/>
  <c r="S41" i="2"/>
  <c r="H3" i="1" s="1"/>
  <c r="N35" i="2"/>
  <c r="P73" i="2"/>
  <c r="N56" i="2"/>
  <c r="N59" i="2" s="1"/>
  <c r="J8" i="1" s="1"/>
  <c r="J13" i="1" s="1"/>
  <c r="L50" i="2"/>
  <c r="M47" i="2"/>
  <c r="I6" i="1" s="1"/>
  <c r="P47" i="2"/>
  <c r="L6" i="1" s="1"/>
  <c r="M65" i="2"/>
  <c r="P65" i="2"/>
  <c r="M35" i="2"/>
  <c r="P35" i="2"/>
  <c r="L78" i="2" l="1"/>
  <c r="L80" i="2" s="1"/>
  <c r="O50" i="2"/>
  <c r="O78" i="2" s="1"/>
  <c r="O80" i="2" s="1"/>
  <c r="G21" i="1"/>
  <c r="V41" i="2"/>
  <c r="K3" i="1" s="1"/>
  <c r="S59" i="2"/>
  <c r="M75" i="2"/>
  <c r="S75" i="2" s="1"/>
  <c r="T41" i="2"/>
  <c r="I3" i="1" s="1"/>
  <c r="W41" i="2"/>
  <c r="L3" i="1" s="1"/>
  <c r="N50" i="2"/>
  <c r="N78" i="2" s="1"/>
  <c r="N80" i="2" s="1"/>
  <c r="U41" i="2"/>
  <c r="J3" i="1" s="1"/>
  <c r="P75" i="2"/>
  <c r="L9" i="1" s="1"/>
  <c r="P50" i="2"/>
  <c r="M50" i="2"/>
  <c r="I9" i="1" l="1"/>
  <c r="M78" i="2"/>
  <c r="M80" i="2" s="1"/>
  <c r="P78" i="2"/>
  <c r="P80" i="2" s="1"/>
  <c r="S50" i="2"/>
</calcChain>
</file>

<file path=xl/sharedStrings.xml><?xml version="1.0" encoding="utf-8"?>
<sst xmlns="http://schemas.openxmlformats.org/spreadsheetml/2006/main" count="272" uniqueCount="103">
  <si>
    <t>ITEM</t>
  </si>
  <si>
    <t>DESCRIÇÃO</t>
  </si>
  <si>
    <t>UNIDADE</t>
  </si>
  <si>
    <t>QTDE</t>
  </si>
  <si>
    <t>Valor Unitário Mercado (R$)</t>
  </si>
  <si>
    <t>Valor Total Mercado (R$)</t>
  </si>
  <si>
    <t>Imóvel</t>
  </si>
  <si>
    <t>Sistema</t>
  </si>
  <si>
    <t>Hora</t>
  </si>
  <si>
    <t>Mês</t>
  </si>
  <si>
    <t>Data</t>
  </si>
  <si>
    <t>Local</t>
  </si>
  <si>
    <t>Carro (R$)</t>
  </si>
  <si>
    <t>Gasolina (R$)</t>
  </si>
  <si>
    <t>Hospedagem (R$)</t>
  </si>
  <si>
    <t>Almoço (R$)</t>
  </si>
  <si>
    <t>Café (R$)</t>
  </si>
  <si>
    <t>Janta (R$)</t>
  </si>
  <si>
    <t>Equipamento (R$)</t>
  </si>
  <si>
    <t>Diária do Operador (R$)</t>
  </si>
  <si>
    <t>Diária do Auxiliar (R$)</t>
  </si>
  <si>
    <t>Total do Dia (R$)</t>
  </si>
  <si>
    <t>Observações</t>
  </si>
  <si>
    <t>Boa Nova</t>
  </si>
  <si>
    <t>Total</t>
  </si>
  <si>
    <t>Despesa de Voos</t>
  </si>
  <si>
    <t>% Lucro</t>
  </si>
  <si>
    <t>Valor Final com Lucro (R$)</t>
  </si>
  <si>
    <t>Despesa de Processamento</t>
  </si>
  <si>
    <t>Serviço</t>
  </si>
  <si>
    <t>Processamento de Imagens Aéreas com Drone</t>
  </si>
  <si>
    <t>Prestação de serviço de processamento e análise de imagens obtidas por aeronave remotamente pilotada (drone), abrangendo área total de 600 hectares, incluindo a geração de produtos cartográficos e relatórios técnicos.</t>
  </si>
  <si>
    <t>Objetivo</t>
  </si>
  <si>
    <t>Ortomosaico GeoTIFF em resolução compatível com o voo.
MDS/MDT em GeoTIFF.
Relatório técnico com metadados e resumo metodológico.</t>
  </si>
  <si>
    <t>Produtos finais</t>
  </si>
  <si>
    <t>Até 10 dias úteis após recebimento integral das imagens.</t>
  </si>
  <si>
    <t>Item</t>
  </si>
  <si>
    <t>Processamento de imagens – 600 ha</t>
  </si>
  <si>
    <t>Valor Unitário (R$)</t>
  </si>
  <si>
    <t>Valor Total (R$)</t>
  </si>
  <si>
    <t>Organização e georreferenciamento das imagens.
Processamento para geração de:
Ortomosaico de alta resolução (RGB);
Modelo Digital de Superfície (MDS);
Modelo Digital de Terreno (MDT);
Correção radiométrica e ajuste de cores.
Exportação em formatos compatíveis com softwares CAD e GIS.
Entrega em mídia digital e/ou link seguro para download.</t>
  </si>
  <si>
    <t>Prazo de Entrega</t>
  </si>
  <si>
    <t>Quantidade (Hectares)</t>
  </si>
  <si>
    <t>Escopo</t>
  </si>
  <si>
    <t>Estimativa de referência (mercado brasileiro 2025)
Hoje, valores de processamento profissional no mercado variam:
Por hectare: R$ 4 a R$ 8/ha (simples) ou R$ 10 a R$ 15/ha (com análises avançadas).
Preço fixo: proporcional ao tempo de processamento e complexidade.
💡 Para 600 ha:
Simples (ortomosaico básico, MDS/MDT): R$ 2.400 a R$ 4.800.
Avançado (classificação, NDVI, análise de volume, relatórios): R$ 6.000 a R$ 9.000.</t>
  </si>
  <si>
    <t>Despesa de Marcos</t>
  </si>
  <si>
    <t>quantidade</t>
  </si>
  <si>
    <t>Serviços</t>
  </si>
  <si>
    <t>Àrea = Há</t>
  </si>
  <si>
    <t>Organização e georreferenciamento das imagens. Processamento para geração de: Ortomosaico de alta resolução (RGB); Modelo Digital de Superfície (MDS); Modelo Digital de Terreno (MDT); Correção radiométrica e ajuste de cores. Exportação em formatos compatíveis com softwares CAD e GIS. Entrega em mídia digital e/ou link seguro para download.</t>
  </si>
  <si>
    <t>Conjuntos de dados tridimensionais de alta precisão centimétrica, representando fielmente a superfície de objetos ou terrenos - nuvens de pontos.</t>
  </si>
  <si>
    <t>Há</t>
  </si>
  <si>
    <t>Atualização e vetorização da base cartográfica urbana (PECA 1:1000) E do Cadastro técnico imobiliário.</t>
  </si>
  <si>
    <t>Cobertura aerofotogramétrica urbana para obtenção de fotografias aéreas verticais coloridas do território do município , gsd 10 cm ou melhor, pec-a 1:1000</t>
  </si>
  <si>
    <t>Estruturação e atualização de cadastro técnico municipal e reclassificação do padrão construtivo</t>
  </si>
  <si>
    <t xml:space="preserve">Customização, implantação de Plataforma de gestão na Web com integração com Banco de Dados Espacial e Sistema mobile, Sisprom-Br </t>
  </si>
  <si>
    <t>Consultoria em processo e treinamentos.</t>
  </si>
  <si>
    <t>Hospedagem da plantaforma WebGis</t>
  </si>
  <si>
    <t>Geração automatizada das plantas de quadra para planejamento urbano, com representação individualizada, incluindo informações detalhadas como área, largura, comprimento e numeração dos lotes.</t>
  </si>
  <si>
    <t>Rasterizar elementos (desenho)</t>
  </si>
  <si>
    <t>10 Reais por dupla</t>
  </si>
  <si>
    <t>Valor por Imóvel  (R$)</t>
  </si>
  <si>
    <t>Quantidade de Duplas (Un)</t>
  </si>
  <si>
    <t>Quantidade de Imoveis por dupla (Un)</t>
  </si>
  <si>
    <t>Programação</t>
  </si>
  <si>
    <t>voo 360</t>
  </si>
  <si>
    <t>Ortomosaico e nuvem de ponto</t>
  </si>
  <si>
    <t>Pontos de Controle</t>
  </si>
  <si>
    <t>Vetorização dos Imóveis</t>
  </si>
  <si>
    <t>Programaçã, Banco de Dados e Dashboards</t>
  </si>
  <si>
    <t>Total Geral</t>
  </si>
  <si>
    <t>gastos</t>
  </si>
  <si>
    <t>sem lucro</t>
  </si>
  <si>
    <t>com lucro 50%</t>
  </si>
  <si>
    <t>Técnico para Treinamentos</t>
  </si>
  <si>
    <t>Quantidade de Técnico (Un)</t>
  </si>
  <si>
    <t>horas</t>
  </si>
  <si>
    <t>Valor Final 30% Lucro (R$)</t>
  </si>
  <si>
    <t>Valor Final 50% Lucro (R$)</t>
  </si>
  <si>
    <t>Valor Final 70% Lucro (R$)</t>
  </si>
  <si>
    <t>com lucro 30%</t>
  </si>
  <si>
    <t>com lucro 70%</t>
  </si>
  <si>
    <t>30% Lucro</t>
  </si>
  <si>
    <t>50% Lucro</t>
  </si>
  <si>
    <t>70% Lucro</t>
  </si>
  <si>
    <t>100% Lucro</t>
  </si>
  <si>
    <t>Valor Final 100% Lucro (R$)</t>
  </si>
  <si>
    <t>5 Reais por dupla</t>
  </si>
  <si>
    <t>Valor por Hora (R$)</t>
  </si>
  <si>
    <t>Total Despesa (R$)</t>
  </si>
  <si>
    <t>Marcos = 30 (Un)</t>
  </si>
  <si>
    <t>imposto 15%</t>
  </si>
  <si>
    <t>15% Imposto</t>
  </si>
  <si>
    <t>com lucro 100%</t>
  </si>
  <si>
    <t>Equipe de Campo =31,000 Imóveis</t>
  </si>
  <si>
    <t>90 dias</t>
  </si>
  <si>
    <t>Brumado</t>
  </si>
  <si>
    <t>VALOR POR IMOVEL</t>
  </si>
  <si>
    <t>Levantamento fotográfico multidirecional aerio (360°) nos lotes urbanos</t>
  </si>
  <si>
    <t>Despesas de Voos = 3.000 Ha</t>
  </si>
  <si>
    <t>Despesas de Marcos e Georreferenciamento = 3.000 Há</t>
  </si>
  <si>
    <t>Despesas de Processamento = 3.000 Há</t>
  </si>
  <si>
    <t>Rasterizar elementos (desenho) = 3.000 Há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</si>
</sst>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#,##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1" xfId="0" applyBorder="1"/>
    <xf numFmtId="165" fontId="0" fillId="0" borderId="1" xfId="0" applyNumberFormat="1" applyBorder="1"/>
    <xf numFmtId="164" fontId="0" fillId="0" borderId="1" xfId="0" applyNumberFormat="1" applyBorder="1"/>
    <xf numFmtId="16" fontId="0" fillId="0" borderId="1" xfId="0" applyNumberFormat="1" applyBorder="1"/>
    <xf numFmtId="0" fontId="0" fillId="0" borderId="2" xfId="0" applyBorder="1"/>
    <xf numFmtId="9" fontId="0" fillId="0" borderId="1" xfId="0" applyNumberFormat="1" applyBorder="1"/>
    <xf numFmtId="0" fontId="0" fillId="0" borderId="3" xfId="0" applyBorder="1"/>
    <xf numFmtId="164" fontId="0" fillId="0" borderId="3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164" fontId="0" fillId="0" borderId="0" xfId="0" applyNumberFormat="1"/>
    <xf numFmtId="164" fontId="0" fillId="0" borderId="1" xfId="0" applyNumberFormat="1" applyBorder="1" applyAlignment="1">
      <alignment horizontal="right" vertical="center"/>
    </xf>
    <xf numFmtId="0" fontId="5" fillId="4" borderId="1" xfId="0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vertical="center"/>
    </xf>
    <xf numFmtId="16" fontId="0" fillId="0" borderId="11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0" fontId="5" fillId="4" borderId="12" xfId="0" applyFont="1" applyFill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5" fillId="3" borderId="17" xfId="0" applyFont="1" applyFill="1" applyBorder="1" applyAlignment="1">
      <alignment vertical="center"/>
    </xf>
    <xf numFmtId="164" fontId="5" fillId="3" borderId="17" xfId="0" applyNumberFormat="1" applyFont="1" applyFill="1" applyBorder="1" applyAlignment="1">
      <alignment vertical="center"/>
    </xf>
    <xf numFmtId="0" fontId="5" fillId="3" borderId="18" xfId="0" applyFont="1" applyFill="1" applyBorder="1" applyAlignment="1">
      <alignment vertical="center"/>
    </xf>
    <xf numFmtId="0" fontId="0" fillId="0" borderId="12" xfId="0" applyBorder="1" applyAlignment="1">
      <alignment horizontal="center" vertical="center" wrapText="1"/>
    </xf>
    <xf numFmtId="0" fontId="5" fillId="2" borderId="19" xfId="0" applyFont="1" applyFill="1" applyBorder="1" applyAlignment="1">
      <alignment vertical="center"/>
    </xf>
    <xf numFmtId="164" fontId="5" fillId="2" borderId="20" xfId="0" applyNumberFormat="1" applyFont="1" applyFill="1" applyBorder="1" applyAlignment="1">
      <alignment vertical="center"/>
    </xf>
    <xf numFmtId="0" fontId="5" fillId="2" borderId="21" xfId="0" applyFont="1" applyFill="1" applyBorder="1" applyAlignment="1">
      <alignment vertical="center"/>
    </xf>
    <xf numFmtId="0" fontId="6" fillId="0" borderId="0" xfId="0" applyFont="1"/>
    <xf numFmtId="2" fontId="0" fillId="0" borderId="1" xfId="0" applyNumberFormat="1" applyBorder="1"/>
    <xf numFmtId="0" fontId="0" fillId="0" borderId="12" xfId="0" applyBorder="1" applyAlignment="1">
      <alignment vertical="center"/>
    </xf>
    <xf numFmtId="16" fontId="0" fillId="0" borderId="12" xfId="0" applyNumberFormat="1" applyBorder="1" applyAlignment="1">
      <alignment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top"/>
    </xf>
    <xf numFmtId="0" fontId="1" fillId="5" borderId="12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top"/>
    </xf>
    <xf numFmtId="0" fontId="1" fillId="5" borderId="12" xfId="0" applyFont="1" applyFill="1" applyBorder="1" applyAlignment="1">
      <alignment horizontal="center" vertical="top"/>
    </xf>
    <xf numFmtId="164" fontId="0" fillId="2" borderId="1" xfId="0" applyNumberFormat="1" applyFill="1" applyBorder="1"/>
    <xf numFmtId="164" fontId="0" fillId="0" borderId="6" xfId="0" applyNumberFormat="1" applyBorder="1" applyAlignment="1">
      <alignment horizontal="right" vertical="center"/>
    </xf>
    <xf numFmtId="164" fontId="0" fillId="0" borderId="7" xfId="0" applyNumberFormat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2" fillId="5" borderId="1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/>
    </xf>
    <xf numFmtId="0" fontId="1" fillId="5" borderId="4" xfId="0" applyFont="1" applyFill="1" applyBorder="1" applyAlignment="1">
      <alignment horizontal="center" vertical="top"/>
    </xf>
    <xf numFmtId="0" fontId="1" fillId="5" borderId="5" xfId="0" applyFont="1" applyFill="1" applyBorder="1" applyAlignment="1">
      <alignment horizontal="center" vertical="top"/>
    </xf>
    <xf numFmtId="0" fontId="2" fillId="5" borderId="8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2" fillId="5" borderId="22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164" fontId="0" fillId="0" borderId="2" xfId="0" applyNumberFormat="1" applyBorder="1" applyAlignment="1">
      <alignment horizontal="left" vertical="center" wrapText="1"/>
    </xf>
    <xf numFmtId="164" fontId="0" fillId="0" borderId="4" xfId="0" applyNumberFormat="1" applyBorder="1" applyAlignment="1">
      <alignment horizontal="left" vertical="center" wrapText="1"/>
    </xf>
    <xf numFmtId="164" fontId="0" fillId="0" borderId="5" xfId="0" applyNumberFormat="1" applyBorder="1" applyAlignment="1">
      <alignment horizontal="left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"/>
  <sheetViews>
    <sheetView tabSelected="1" workbookViewId="0">
      <selection activeCell="F13" sqref="F13"/>
    </sheetView>
  </sheetViews>
  <sheetFormatPr defaultRowHeight="15" x14ac:dyDescent="0.25"/>
  <cols>
    <col min="2" max="2" width="50.42578125" bestFit="1" customWidth="1"/>
    <col min="3" max="3" width="9.28515625" bestFit="1" customWidth="1"/>
    <col min="4" max="4" width="10" customWidth="1"/>
    <col min="5" max="5" width="26.42578125" bestFit="1" customWidth="1"/>
    <col min="6" max="6" width="23.42578125" bestFit="1" customWidth="1"/>
    <col min="7" max="7" width="12.7109375" bestFit="1" customWidth="1"/>
    <col min="8" max="8" width="15.7109375" customWidth="1"/>
    <col min="9" max="9" width="18.140625" customWidth="1"/>
    <col min="10" max="10" width="15.85546875" customWidth="1"/>
    <col min="11" max="12" width="17.42578125" customWidth="1"/>
    <col min="13" max="13" width="12.42578125" bestFit="1" customWidth="1"/>
    <col min="14" max="14" width="17.7109375" bestFit="1" customWidth="1"/>
    <col min="15" max="15" width="13.5703125" bestFit="1" customWidth="1"/>
  </cols>
  <sheetData>
    <row r="1" spans="1:15" x14ac:dyDescent="0.25">
      <c r="H1" s="57" t="s">
        <v>71</v>
      </c>
      <c r="I1" s="57"/>
    </row>
    <row r="2" spans="1:1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H2" s="15" t="s">
        <v>72</v>
      </c>
      <c r="I2" s="15" t="s">
        <v>80</v>
      </c>
      <c r="J2" s="15" t="s">
        <v>73</v>
      </c>
      <c r="K2" s="15" t="s">
        <v>81</v>
      </c>
      <c r="L2" s="15" t="s">
        <v>93</v>
      </c>
    </row>
    <row r="3" spans="1:15" ht="45" customHeight="1" x14ac:dyDescent="0.25">
      <c r="A3" s="11">
        <v>1</v>
      </c>
      <c r="B3" s="22" t="s">
        <v>53</v>
      </c>
      <c r="C3" s="2" t="s">
        <v>51</v>
      </c>
      <c r="D3" s="3">
        <v>3000</v>
      </c>
      <c r="E3" s="4">
        <v>71.900000000000006</v>
      </c>
      <c r="F3" s="4">
        <f>E3*D3</f>
        <v>215700.00000000003</v>
      </c>
      <c r="G3" s="23"/>
      <c r="H3" s="56">
        <f>Planilha1!S41</f>
        <v>162740.31</v>
      </c>
      <c r="I3" s="56">
        <f>Planilha1!T41</f>
        <v>211562.40300000002</v>
      </c>
      <c r="J3" s="56">
        <f>Planilha1!U41</f>
        <v>244110.46499999997</v>
      </c>
      <c r="K3" s="56">
        <f>Planilha1!V41</f>
        <v>276658.527</v>
      </c>
      <c r="L3" s="56">
        <f>Planilha1!W41</f>
        <v>325480.62</v>
      </c>
    </row>
    <row r="4" spans="1:15" ht="47.25" customHeight="1" x14ac:dyDescent="0.25">
      <c r="A4" s="11">
        <v>2</v>
      </c>
      <c r="B4" s="22" t="s">
        <v>50</v>
      </c>
      <c r="C4" s="2" t="s">
        <v>51</v>
      </c>
      <c r="D4" s="3">
        <v>3000</v>
      </c>
      <c r="E4" s="4">
        <v>13.7</v>
      </c>
      <c r="F4" s="4">
        <f t="shared" ref="F4:F11" si="0">E4*D4</f>
        <v>41100</v>
      </c>
      <c r="G4" s="23"/>
      <c r="H4" s="56"/>
      <c r="I4" s="56"/>
      <c r="J4" s="56"/>
      <c r="K4" s="56"/>
      <c r="L4" s="56"/>
      <c r="M4" s="23"/>
      <c r="N4" s="23"/>
      <c r="O4" s="23"/>
    </row>
    <row r="5" spans="1:15" ht="32.25" customHeight="1" x14ac:dyDescent="0.25">
      <c r="A5" s="11">
        <v>3</v>
      </c>
      <c r="B5" s="22" t="s">
        <v>98</v>
      </c>
      <c r="C5" s="2" t="s">
        <v>51</v>
      </c>
      <c r="D5" s="3">
        <v>3000</v>
      </c>
      <c r="E5" s="4">
        <v>12.9</v>
      </c>
      <c r="F5" s="4">
        <f>E5*D5</f>
        <v>38700</v>
      </c>
      <c r="G5" s="23"/>
      <c r="H5" s="56"/>
      <c r="I5" s="56"/>
      <c r="J5" s="56"/>
      <c r="K5" s="56"/>
      <c r="L5" s="56"/>
    </row>
    <row r="6" spans="1:15" ht="51" x14ac:dyDescent="0.25">
      <c r="A6" s="11">
        <v>4</v>
      </c>
      <c r="B6" s="22" t="s">
        <v>58</v>
      </c>
      <c r="C6" s="2" t="s">
        <v>6</v>
      </c>
      <c r="D6" s="3">
        <v>29500</v>
      </c>
      <c r="E6" s="4">
        <v>4.87</v>
      </c>
      <c r="F6" s="4">
        <f t="shared" si="0"/>
        <v>143665</v>
      </c>
      <c r="H6" s="53">
        <f>Planilha1!L47</f>
        <v>152700</v>
      </c>
      <c r="I6" s="53">
        <f>Planilha1!M47</f>
        <v>198510</v>
      </c>
      <c r="J6" s="53">
        <f>Planilha1!N47</f>
        <v>229050</v>
      </c>
      <c r="K6" s="53">
        <f>Planilha1!O47</f>
        <v>259590</v>
      </c>
      <c r="L6" s="53">
        <f>Planilha1!P47</f>
        <v>305400</v>
      </c>
      <c r="N6" s="23"/>
      <c r="O6" s="23"/>
    </row>
    <row r="7" spans="1:15" ht="30.75" customHeight="1" x14ac:dyDescent="0.25">
      <c r="A7" s="11">
        <v>5</v>
      </c>
      <c r="B7" s="22" t="s">
        <v>52</v>
      </c>
      <c r="C7" s="2" t="s">
        <v>6</v>
      </c>
      <c r="D7" s="3">
        <v>29500</v>
      </c>
      <c r="E7" s="4">
        <v>3.69</v>
      </c>
      <c r="F7" s="4">
        <f t="shared" si="0"/>
        <v>108855</v>
      </c>
      <c r="H7" s="55"/>
      <c r="I7" s="55"/>
      <c r="J7" s="55"/>
      <c r="K7" s="55"/>
      <c r="L7" s="55"/>
      <c r="M7" s="23"/>
    </row>
    <row r="8" spans="1:15" ht="36" customHeight="1" x14ac:dyDescent="0.25">
      <c r="A8" s="11">
        <v>6</v>
      </c>
      <c r="B8" s="21" t="s">
        <v>54</v>
      </c>
      <c r="C8" s="2" t="s">
        <v>6</v>
      </c>
      <c r="D8" s="3">
        <v>29500</v>
      </c>
      <c r="E8" s="4">
        <v>20.100000000000001</v>
      </c>
      <c r="F8" s="4">
        <f t="shared" si="0"/>
        <v>592950</v>
      </c>
      <c r="H8" s="24">
        <f>Planilha1!L59</f>
        <v>192300</v>
      </c>
      <c r="I8" s="24">
        <f>Planilha1!M59</f>
        <v>249990</v>
      </c>
      <c r="J8" s="24">
        <f>Planilha1!N59</f>
        <v>288450</v>
      </c>
      <c r="K8" s="24">
        <f>Planilha1!O59</f>
        <v>326910</v>
      </c>
      <c r="L8" s="24">
        <f>Planilha1!P59</f>
        <v>384600</v>
      </c>
      <c r="N8" s="12" t="s">
        <v>97</v>
      </c>
      <c r="O8" s="23"/>
    </row>
    <row r="9" spans="1:15" ht="20.25" customHeight="1" x14ac:dyDescent="0.25">
      <c r="A9" s="11">
        <v>7</v>
      </c>
      <c r="B9" s="22" t="s">
        <v>56</v>
      </c>
      <c r="C9" s="2" t="s">
        <v>8</v>
      </c>
      <c r="D9" s="3">
        <v>90</v>
      </c>
      <c r="E9" s="4">
        <v>200</v>
      </c>
      <c r="F9" s="4">
        <f>E9*D9</f>
        <v>18000</v>
      </c>
      <c r="H9" s="53">
        <f>Planilha1!L75</f>
        <v>50530.59</v>
      </c>
      <c r="I9" s="53">
        <f>Planilha1!M75</f>
        <v>65689.766999999993</v>
      </c>
      <c r="J9" s="53">
        <f>Planilha1!N75</f>
        <v>75795.884999999995</v>
      </c>
      <c r="K9" s="53">
        <f>Planilha1!O75</f>
        <v>85902.002999999997</v>
      </c>
      <c r="L9" s="53">
        <f>Planilha1!P75</f>
        <v>101061.18</v>
      </c>
      <c r="N9" s="12">
        <f>F13/31000</f>
        <v>45.528064516129035</v>
      </c>
    </row>
    <row r="10" spans="1:15" ht="45.75" customHeight="1" x14ac:dyDescent="0.25">
      <c r="A10" s="11">
        <v>8</v>
      </c>
      <c r="B10" s="21" t="s">
        <v>55</v>
      </c>
      <c r="C10" s="2" t="s">
        <v>7</v>
      </c>
      <c r="D10" s="3">
        <v>1</v>
      </c>
      <c r="E10" s="4">
        <v>70000</v>
      </c>
      <c r="F10" s="4">
        <f t="shared" si="0"/>
        <v>70000</v>
      </c>
      <c r="H10" s="54"/>
      <c r="I10" s="54"/>
      <c r="J10" s="54"/>
      <c r="K10" s="54"/>
      <c r="L10" s="54"/>
      <c r="N10" s="23"/>
    </row>
    <row r="11" spans="1:15" ht="22.5" customHeight="1" x14ac:dyDescent="0.25">
      <c r="A11" s="11">
        <v>9</v>
      </c>
      <c r="B11" s="22" t="s">
        <v>57</v>
      </c>
      <c r="C11" s="2" t="s">
        <v>9</v>
      </c>
      <c r="D11" s="3">
        <v>12</v>
      </c>
      <c r="E11" s="4">
        <v>15200</v>
      </c>
      <c r="F11" s="4">
        <f t="shared" si="0"/>
        <v>182400</v>
      </c>
      <c r="H11" s="55"/>
      <c r="I11" s="55"/>
      <c r="J11" s="55"/>
      <c r="K11" s="55"/>
      <c r="L11" s="55"/>
    </row>
    <row r="12" spans="1:15" x14ac:dyDescent="0.25">
      <c r="A12" s="2"/>
      <c r="B12" s="2"/>
      <c r="C12" s="2"/>
      <c r="D12" s="2"/>
      <c r="E12" s="2"/>
      <c r="F12" s="2"/>
      <c r="H12">
        <v>0.15</v>
      </c>
      <c r="I12">
        <v>0.15</v>
      </c>
      <c r="J12">
        <v>0.15</v>
      </c>
      <c r="K12">
        <v>0.15</v>
      </c>
      <c r="L12">
        <v>0.15</v>
      </c>
    </row>
    <row r="13" spans="1:15" x14ac:dyDescent="0.25">
      <c r="A13" s="2"/>
      <c r="B13" s="2"/>
      <c r="C13" s="2"/>
      <c r="D13" s="2"/>
      <c r="E13" s="2"/>
      <c r="F13" s="52">
        <f>SUM(F3:F12)</f>
        <v>1411370</v>
      </c>
      <c r="H13" s="52">
        <f>SUM(H3:H11)*(1+15%)</f>
        <v>642011.53500000003</v>
      </c>
      <c r="I13" s="52">
        <f>SUM(I3:I11)*(1+15%)</f>
        <v>834614.99549999996</v>
      </c>
      <c r="J13" s="52">
        <f>SUM(J3:J11)*(1+15%)</f>
        <v>963017.30249999987</v>
      </c>
      <c r="K13" s="52">
        <f>SUM(K3:K11)*(1+15%)</f>
        <v>1091419.6095</v>
      </c>
      <c r="L13" s="52">
        <f>SUM(L3:L11)*(1+15%)</f>
        <v>1284023.07</v>
      </c>
      <c r="N13" s="23"/>
    </row>
    <row r="16" spans="1:15" x14ac:dyDescent="0.25">
      <c r="I16" s="23"/>
      <c r="J16" s="23"/>
      <c r="K16" s="23"/>
      <c r="L16" s="23"/>
    </row>
    <row r="21" spans="7:7" x14ac:dyDescent="0.25">
      <c r="G21" s="23">
        <f>F13-H13</f>
        <v>769358.46499999997</v>
      </c>
    </row>
  </sheetData>
  <mergeCells count="16">
    <mergeCell ref="H1:I1"/>
    <mergeCell ref="H3:H5"/>
    <mergeCell ref="I3:I5"/>
    <mergeCell ref="H6:H7"/>
    <mergeCell ref="I6:I7"/>
    <mergeCell ref="H9:H11"/>
    <mergeCell ref="I9:I11"/>
    <mergeCell ref="J3:J5"/>
    <mergeCell ref="L3:L5"/>
    <mergeCell ref="J6:J7"/>
    <mergeCell ref="L6:L7"/>
    <mergeCell ref="J9:J11"/>
    <mergeCell ref="L9:L11"/>
    <mergeCell ref="K3:K5"/>
    <mergeCell ref="K6:K7"/>
    <mergeCell ref="K9:K11"/>
  </mergeCells>
  <pageMargins left="0.7" right="0.7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2D6CB-D920-4E1A-B244-2ADACF334D04}">
  <sheetPr>
    <pageSetUpPr fitToPage="1"/>
  </sheetPr>
  <dimension ref="A1:W80"/>
  <sheetViews>
    <sheetView workbookViewId="0">
      <selection activeCell="G56" sqref="G56"/>
    </sheetView>
  </sheetViews>
  <sheetFormatPr defaultRowHeight="15" x14ac:dyDescent="0.25"/>
  <cols>
    <col min="3" max="3" width="11.7109375" bestFit="1" customWidth="1"/>
    <col min="4" max="4" width="12.7109375" bestFit="1" customWidth="1"/>
    <col min="5" max="5" width="16.7109375" bestFit="1" customWidth="1"/>
    <col min="6" max="6" width="11.5703125" bestFit="1" customWidth="1"/>
    <col min="7" max="8" width="11.7109375" bestFit="1" customWidth="1"/>
    <col min="9" max="9" width="25" bestFit="1" customWidth="1"/>
    <col min="10" max="10" width="35.28515625" bestFit="1" customWidth="1"/>
    <col min="11" max="11" width="20.42578125" bestFit="1" customWidth="1"/>
    <col min="12" max="12" width="20.5703125" customWidth="1"/>
    <col min="13" max="16" width="24.140625" bestFit="1" customWidth="1"/>
    <col min="17" max="17" width="28.28515625" customWidth="1"/>
    <col min="19" max="20" width="11.7109375" bestFit="1" customWidth="1"/>
    <col min="21" max="21" width="13.140625" customWidth="1"/>
    <col min="22" max="22" width="12.85546875" customWidth="1"/>
    <col min="23" max="23" width="13.28515625" customWidth="1"/>
  </cols>
  <sheetData>
    <row r="1" spans="1:23" ht="18.75" x14ac:dyDescent="0.3">
      <c r="A1" s="65" t="s">
        <v>99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7"/>
      <c r="O1" s="67"/>
      <c r="P1" s="67"/>
      <c r="Q1" s="68"/>
      <c r="S1" s="1" t="s">
        <v>82</v>
      </c>
      <c r="T1" s="1" t="s">
        <v>83</v>
      </c>
      <c r="U1" s="1" t="s">
        <v>84</v>
      </c>
      <c r="V1" s="1" t="s">
        <v>85</v>
      </c>
      <c r="W1" s="1" t="s">
        <v>92</v>
      </c>
    </row>
    <row r="2" spans="1:23" x14ac:dyDescent="0.25">
      <c r="A2" s="46" t="s">
        <v>10</v>
      </c>
      <c r="B2" s="47" t="s">
        <v>11</v>
      </c>
      <c r="C2" s="47" t="s">
        <v>12</v>
      </c>
      <c r="D2" s="47" t="s">
        <v>13</v>
      </c>
      <c r="E2" s="47" t="s">
        <v>14</v>
      </c>
      <c r="F2" s="47" t="s">
        <v>16</v>
      </c>
      <c r="G2" s="47" t="s">
        <v>15</v>
      </c>
      <c r="H2" s="47" t="s">
        <v>17</v>
      </c>
      <c r="I2" s="47" t="s">
        <v>18</v>
      </c>
      <c r="J2" s="47" t="s">
        <v>19</v>
      </c>
      <c r="K2" s="47" t="s">
        <v>20</v>
      </c>
      <c r="L2" s="48" t="s">
        <v>89</v>
      </c>
      <c r="M2" s="48" t="s">
        <v>77</v>
      </c>
      <c r="N2" s="48" t="s">
        <v>78</v>
      </c>
      <c r="O2" s="48" t="s">
        <v>79</v>
      </c>
      <c r="P2" s="48" t="s">
        <v>86</v>
      </c>
      <c r="Q2" s="49" t="s">
        <v>22</v>
      </c>
      <c r="S2" s="43">
        <v>0.3</v>
      </c>
      <c r="T2" s="43">
        <v>0.5</v>
      </c>
      <c r="U2" s="43">
        <v>0.7</v>
      </c>
      <c r="V2" s="43">
        <v>1</v>
      </c>
      <c r="W2" s="43">
        <v>0.15</v>
      </c>
    </row>
    <row r="3" spans="1:23" x14ac:dyDescent="0.25">
      <c r="A3" s="27">
        <v>45917</v>
      </c>
      <c r="B3" s="16" t="s">
        <v>96</v>
      </c>
      <c r="C3" s="17">
        <v>188.53</v>
      </c>
      <c r="D3" s="17">
        <v>100</v>
      </c>
      <c r="E3" s="17">
        <v>200</v>
      </c>
      <c r="F3" s="17">
        <v>20</v>
      </c>
      <c r="G3" s="17">
        <v>50</v>
      </c>
      <c r="H3" s="17">
        <v>40</v>
      </c>
      <c r="I3" s="17">
        <v>1000</v>
      </c>
      <c r="J3" s="17">
        <v>800</v>
      </c>
      <c r="K3" s="17">
        <v>200</v>
      </c>
      <c r="L3" s="17">
        <f t="shared" ref="L3:L12" si="0">SUM(C3:K3)</f>
        <v>2598.5299999999997</v>
      </c>
      <c r="M3" s="17">
        <f t="shared" ref="M3:M12" si="1">L3*(1+$S$2)</f>
        <v>3378.0889999999999</v>
      </c>
      <c r="N3" s="17">
        <f t="shared" ref="N3:N12" si="2">L3*(1+$T$2)</f>
        <v>3897.7949999999996</v>
      </c>
      <c r="O3" s="17">
        <f t="shared" ref="O3:O12" si="3">L3*(1+$U$2)</f>
        <v>4417.5009999999993</v>
      </c>
      <c r="P3" s="17">
        <f t="shared" ref="P3:P12" si="4">L3*(1+$V$2)</f>
        <v>5197.0599999999995</v>
      </c>
      <c r="Q3" s="44" t="s">
        <v>66</v>
      </c>
    </row>
    <row r="4" spans="1:23" x14ac:dyDescent="0.25">
      <c r="A4" s="27">
        <v>45918</v>
      </c>
      <c r="B4" s="16" t="s">
        <v>96</v>
      </c>
      <c r="C4" s="17">
        <v>188.53</v>
      </c>
      <c r="D4" s="17">
        <v>100</v>
      </c>
      <c r="E4" s="17">
        <v>200</v>
      </c>
      <c r="F4" s="17">
        <v>20</v>
      </c>
      <c r="G4" s="17">
        <v>50</v>
      </c>
      <c r="H4" s="17">
        <v>40</v>
      </c>
      <c r="I4" s="17">
        <v>1000</v>
      </c>
      <c r="J4" s="17">
        <v>800</v>
      </c>
      <c r="K4" s="17">
        <v>200</v>
      </c>
      <c r="L4" s="17">
        <f t="shared" si="0"/>
        <v>2598.5299999999997</v>
      </c>
      <c r="M4" s="17">
        <f t="shared" si="1"/>
        <v>3378.0889999999999</v>
      </c>
      <c r="N4" s="17">
        <f t="shared" si="2"/>
        <v>3897.7949999999996</v>
      </c>
      <c r="O4" s="17">
        <f t="shared" si="3"/>
        <v>4417.5009999999993</v>
      </c>
      <c r="P4" s="17">
        <f t="shared" si="4"/>
        <v>5197.0599999999995</v>
      </c>
      <c r="Q4" s="44" t="s">
        <v>66</v>
      </c>
    </row>
    <row r="5" spans="1:23" x14ac:dyDescent="0.25">
      <c r="A5" s="27">
        <v>45917</v>
      </c>
      <c r="B5" s="16" t="s">
        <v>96</v>
      </c>
      <c r="C5" s="17">
        <v>188.53</v>
      </c>
      <c r="D5" s="17">
        <v>100</v>
      </c>
      <c r="E5" s="17">
        <v>200</v>
      </c>
      <c r="F5" s="17">
        <v>20</v>
      </c>
      <c r="G5" s="17">
        <v>50</v>
      </c>
      <c r="H5" s="17">
        <v>40</v>
      </c>
      <c r="I5" s="17">
        <v>1000</v>
      </c>
      <c r="J5" s="17">
        <v>800</v>
      </c>
      <c r="K5" s="17">
        <v>200</v>
      </c>
      <c r="L5" s="17">
        <f t="shared" ref="L5:L6" si="5">SUM(C5:K5)</f>
        <v>2598.5299999999997</v>
      </c>
      <c r="M5" s="17">
        <f t="shared" ref="M5:M6" si="6">L5*(1+$S$2)</f>
        <v>3378.0889999999999</v>
      </c>
      <c r="N5" s="17">
        <f t="shared" ref="N5:N6" si="7">L5*(1+$T$2)</f>
        <v>3897.7949999999996</v>
      </c>
      <c r="O5" s="17">
        <f t="shared" ref="O5:O6" si="8">L5*(1+$U$2)</f>
        <v>4417.5009999999993</v>
      </c>
      <c r="P5" s="17">
        <f t="shared" ref="P5:P6" si="9">L5*(1+$V$2)</f>
        <v>5197.0599999999995</v>
      </c>
      <c r="Q5" s="44" t="s">
        <v>66</v>
      </c>
    </row>
    <row r="6" spans="1:23" x14ac:dyDescent="0.25">
      <c r="A6" s="27">
        <v>45918</v>
      </c>
      <c r="B6" s="16" t="s">
        <v>96</v>
      </c>
      <c r="C6" s="17">
        <v>188.53</v>
      </c>
      <c r="D6" s="17">
        <v>100</v>
      </c>
      <c r="E6" s="17">
        <v>200</v>
      </c>
      <c r="F6" s="17">
        <v>20</v>
      </c>
      <c r="G6" s="17">
        <v>50</v>
      </c>
      <c r="H6" s="17">
        <v>40</v>
      </c>
      <c r="I6" s="17">
        <v>1000</v>
      </c>
      <c r="J6" s="17">
        <v>800</v>
      </c>
      <c r="K6" s="17">
        <v>200</v>
      </c>
      <c r="L6" s="17">
        <f t="shared" si="5"/>
        <v>2598.5299999999997</v>
      </c>
      <c r="M6" s="17">
        <f t="shared" si="6"/>
        <v>3378.0889999999999</v>
      </c>
      <c r="N6" s="17">
        <f t="shared" si="7"/>
        <v>3897.7949999999996</v>
      </c>
      <c r="O6" s="17">
        <f t="shared" si="8"/>
        <v>4417.5009999999993</v>
      </c>
      <c r="P6" s="17">
        <f t="shared" si="9"/>
        <v>5197.0599999999995</v>
      </c>
      <c r="Q6" s="44" t="s">
        <v>66</v>
      </c>
    </row>
    <row r="7" spans="1:23" x14ac:dyDescent="0.25">
      <c r="A7" s="27">
        <v>45917</v>
      </c>
      <c r="B7" s="16" t="s">
        <v>96</v>
      </c>
      <c r="C7" s="17">
        <v>188.53</v>
      </c>
      <c r="D7" s="17">
        <v>100</v>
      </c>
      <c r="E7" s="17">
        <v>200</v>
      </c>
      <c r="F7" s="17">
        <v>20</v>
      </c>
      <c r="G7" s="17">
        <v>50</v>
      </c>
      <c r="H7" s="17">
        <v>40</v>
      </c>
      <c r="I7" s="17">
        <v>1000</v>
      </c>
      <c r="J7" s="17">
        <v>800</v>
      </c>
      <c r="K7" s="17">
        <v>200</v>
      </c>
      <c r="L7" s="17">
        <f t="shared" si="0"/>
        <v>2598.5299999999997</v>
      </c>
      <c r="M7" s="17">
        <f t="shared" si="1"/>
        <v>3378.0889999999999</v>
      </c>
      <c r="N7" s="17">
        <f t="shared" si="2"/>
        <v>3897.7949999999996</v>
      </c>
      <c r="O7" s="17">
        <f t="shared" si="3"/>
        <v>4417.5009999999993</v>
      </c>
      <c r="P7" s="17">
        <f t="shared" si="4"/>
        <v>5197.0599999999995</v>
      </c>
      <c r="Q7" s="44" t="s">
        <v>66</v>
      </c>
    </row>
    <row r="8" spans="1:23" x14ac:dyDescent="0.25">
      <c r="A8" s="27">
        <v>45918</v>
      </c>
      <c r="B8" s="16" t="s">
        <v>96</v>
      </c>
      <c r="C8" s="17">
        <v>188.53</v>
      </c>
      <c r="D8" s="17">
        <v>100</v>
      </c>
      <c r="E8" s="17">
        <v>200</v>
      </c>
      <c r="F8" s="17">
        <v>20</v>
      </c>
      <c r="G8" s="17">
        <v>50</v>
      </c>
      <c r="H8" s="17">
        <v>40</v>
      </c>
      <c r="I8" s="17">
        <v>1000</v>
      </c>
      <c r="J8" s="17">
        <v>800</v>
      </c>
      <c r="K8" s="17">
        <v>200</v>
      </c>
      <c r="L8" s="17">
        <f t="shared" si="0"/>
        <v>2598.5299999999997</v>
      </c>
      <c r="M8" s="17">
        <f t="shared" si="1"/>
        <v>3378.0889999999999</v>
      </c>
      <c r="N8" s="17">
        <f t="shared" si="2"/>
        <v>3897.7949999999996</v>
      </c>
      <c r="O8" s="17">
        <f t="shared" si="3"/>
        <v>4417.5009999999993</v>
      </c>
      <c r="P8" s="17">
        <f t="shared" si="4"/>
        <v>5197.0599999999995</v>
      </c>
      <c r="Q8" s="44" t="s">
        <v>66</v>
      </c>
    </row>
    <row r="9" spans="1:23" x14ac:dyDescent="0.25">
      <c r="A9" s="27">
        <v>45917</v>
      </c>
      <c r="B9" s="16" t="s">
        <v>96</v>
      </c>
      <c r="C9" s="17">
        <v>188.53</v>
      </c>
      <c r="D9" s="17">
        <v>100</v>
      </c>
      <c r="E9" s="17">
        <v>200</v>
      </c>
      <c r="F9" s="17">
        <v>20</v>
      </c>
      <c r="G9" s="17">
        <v>50</v>
      </c>
      <c r="H9" s="17">
        <v>40</v>
      </c>
      <c r="I9" s="17">
        <v>1000</v>
      </c>
      <c r="J9" s="17">
        <v>800</v>
      </c>
      <c r="K9" s="17">
        <v>200</v>
      </c>
      <c r="L9" s="17">
        <f t="shared" si="0"/>
        <v>2598.5299999999997</v>
      </c>
      <c r="M9" s="17">
        <f t="shared" si="1"/>
        <v>3378.0889999999999</v>
      </c>
      <c r="N9" s="17">
        <f t="shared" si="2"/>
        <v>3897.7949999999996</v>
      </c>
      <c r="O9" s="17">
        <f t="shared" si="3"/>
        <v>4417.5009999999993</v>
      </c>
      <c r="P9" s="17">
        <f t="shared" si="4"/>
        <v>5197.0599999999995</v>
      </c>
      <c r="Q9" s="44" t="s">
        <v>66</v>
      </c>
    </row>
    <row r="10" spans="1:23" x14ac:dyDescent="0.25">
      <c r="A10" s="27">
        <v>45918</v>
      </c>
      <c r="B10" s="16" t="s">
        <v>96</v>
      </c>
      <c r="C10" s="17">
        <v>188.53</v>
      </c>
      <c r="D10" s="17">
        <v>100</v>
      </c>
      <c r="E10" s="17">
        <v>200</v>
      </c>
      <c r="F10" s="17">
        <v>20</v>
      </c>
      <c r="G10" s="17">
        <v>50</v>
      </c>
      <c r="H10" s="17">
        <v>40</v>
      </c>
      <c r="I10" s="17">
        <v>1000</v>
      </c>
      <c r="J10" s="17">
        <v>800</v>
      </c>
      <c r="K10" s="17">
        <v>200</v>
      </c>
      <c r="L10" s="17">
        <f t="shared" si="0"/>
        <v>2598.5299999999997</v>
      </c>
      <c r="M10" s="17">
        <f t="shared" si="1"/>
        <v>3378.0889999999999</v>
      </c>
      <c r="N10" s="17">
        <f t="shared" si="2"/>
        <v>3897.7949999999996</v>
      </c>
      <c r="O10" s="17">
        <f t="shared" si="3"/>
        <v>4417.5009999999993</v>
      </c>
      <c r="P10" s="17">
        <f t="shared" si="4"/>
        <v>5197.0599999999995</v>
      </c>
      <c r="Q10" s="44" t="s">
        <v>66</v>
      </c>
    </row>
    <row r="11" spans="1:23" x14ac:dyDescent="0.25">
      <c r="A11" s="27">
        <v>45917</v>
      </c>
      <c r="B11" s="16" t="s">
        <v>96</v>
      </c>
      <c r="C11" s="17">
        <v>188.53</v>
      </c>
      <c r="D11" s="17">
        <v>100</v>
      </c>
      <c r="E11" s="17">
        <v>200</v>
      </c>
      <c r="F11" s="17">
        <v>20</v>
      </c>
      <c r="G11" s="17">
        <v>50</v>
      </c>
      <c r="H11" s="17">
        <v>40</v>
      </c>
      <c r="I11" s="17">
        <v>1000</v>
      </c>
      <c r="J11" s="17">
        <v>800</v>
      </c>
      <c r="K11" s="17">
        <v>200</v>
      </c>
      <c r="L11" s="17">
        <f t="shared" si="0"/>
        <v>2598.5299999999997</v>
      </c>
      <c r="M11" s="17">
        <f t="shared" si="1"/>
        <v>3378.0889999999999</v>
      </c>
      <c r="N11" s="17">
        <f t="shared" si="2"/>
        <v>3897.7949999999996</v>
      </c>
      <c r="O11" s="17">
        <f t="shared" si="3"/>
        <v>4417.5009999999993</v>
      </c>
      <c r="P11" s="17">
        <f t="shared" si="4"/>
        <v>5197.0599999999995</v>
      </c>
      <c r="Q11" s="44" t="s">
        <v>66</v>
      </c>
    </row>
    <row r="12" spans="1:23" x14ac:dyDescent="0.25">
      <c r="A12" s="27">
        <v>45918</v>
      </c>
      <c r="B12" s="16" t="s">
        <v>96</v>
      </c>
      <c r="C12" s="17">
        <v>188.53</v>
      </c>
      <c r="D12" s="17">
        <v>100</v>
      </c>
      <c r="E12" s="17">
        <v>200</v>
      </c>
      <c r="F12" s="17">
        <v>20</v>
      </c>
      <c r="G12" s="17">
        <v>50</v>
      </c>
      <c r="H12" s="17">
        <v>40</v>
      </c>
      <c r="I12" s="17">
        <v>1000</v>
      </c>
      <c r="J12" s="17">
        <v>800</v>
      </c>
      <c r="K12" s="17">
        <v>200</v>
      </c>
      <c r="L12" s="17">
        <f t="shared" si="0"/>
        <v>2598.5299999999997</v>
      </c>
      <c r="M12" s="17">
        <f t="shared" si="1"/>
        <v>3378.0889999999999</v>
      </c>
      <c r="N12" s="17">
        <f t="shared" si="2"/>
        <v>3897.7949999999996</v>
      </c>
      <c r="O12" s="17">
        <f t="shared" si="3"/>
        <v>4417.5009999999993</v>
      </c>
      <c r="P12" s="17">
        <f t="shared" si="4"/>
        <v>5197.0599999999995</v>
      </c>
      <c r="Q12" s="44" t="s">
        <v>66</v>
      </c>
    </row>
    <row r="13" spans="1:23" x14ac:dyDescent="0.25">
      <c r="A13" s="27">
        <v>45917</v>
      </c>
      <c r="B13" s="16" t="s">
        <v>96</v>
      </c>
      <c r="C13" s="17">
        <v>188.53</v>
      </c>
      <c r="D13" s="17">
        <v>100</v>
      </c>
      <c r="E13" s="17">
        <v>200</v>
      </c>
      <c r="F13" s="17">
        <v>20</v>
      </c>
      <c r="G13" s="17">
        <v>50</v>
      </c>
      <c r="H13" s="17">
        <v>40</v>
      </c>
      <c r="I13" s="17">
        <v>1000</v>
      </c>
      <c r="J13" s="17">
        <v>800</v>
      </c>
      <c r="K13" s="17">
        <v>200</v>
      </c>
      <c r="L13" s="17">
        <f t="shared" ref="L13:L16" si="10">SUM(C13:K13)</f>
        <v>2598.5299999999997</v>
      </c>
      <c r="M13" s="17">
        <f t="shared" ref="M13:M16" si="11">L13*(1+$S$2)</f>
        <v>3378.0889999999999</v>
      </c>
      <c r="N13" s="17">
        <f t="shared" ref="N13:N16" si="12">L13*(1+$T$2)</f>
        <v>3897.7949999999996</v>
      </c>
      <c r="O13" s="17">
        <f t="shared" ref="O13:O16" si="13">L13*(1+$U$2)</f>
        <v>4417.5009999999993</v>
      </c>
      <c r="P13" s="17">
        <f t="shared" ref="P13:P16" si="14">L13*(1+$V$2)</f>
        <v>5197.0599999999995</v>
      </c>
      <c r="Q13" s="44" t="s">
        <v>66</v>
      </c>
    </row>
    <row r="14" spans="1:23" x14ac:dyDescent="0.25">
      <c r="A14" s="27">
        <v>45918</v>
      </c>
      <c r="B14" s="16" t="s">
        <v>96</v>
      </c>
      <c r="C14" s="17">
        <v>188.53</v>
      </c>
      <c r="D14" s="17">
        <v>100</v>
      </c>
      <c r="E14" s="17">
        <v>200</v>
      </c>
      <c r="F14" s="17">
        <v>20</v>
      </c>
      <c r="G14" s="17">
        <v>50</v>
      </c>
      <c r="H14" s="17">
        <v>40</v>
      </c>
      <c r="I14" s="17">
        <v>1000</v>
      </c>
      <c r="J14" s="17">
        <v>800</v>
      </c>
      <c r="K14" s="17">
        <v>200</v>
      </c>
      <c r="L14" s="17">
        <f t="shared" si="10"/>
        <v>2598.5299999999997</v>
      </c>
      <c r="M14" s="17">
        <f t="shared" si="11"/>
        <v>3378.0889999999999</v>
      </c>
      <c r="N14" s="17">
        <f t="shared" si="12"/>
        <v>3897.7949999999996</v>
      </c>
      <c r="O14" s="17">
        <f t="shared" si="13"/>
        <v>4417.5009999999993</v>
      </c>
      <c r="P14" s="17">
        <f t="shared" si="14"/>
        <v>5197.0599999999995</v>
      </c>
      <c r="Q14" s="44" t="s">
        <v>66</v>
      </c>
    </row>
    <row r="15" spans="1:23" x14ac:dyDescent="0.25">
      <c r="A15" s="27">
        <v>45917</v>
      </c>
      <c r="B15" s="16" t="s">
        <v>96</v>
      </c>
      <c r="C15" s="17">
        <v>188.53</v>
      </c>
      <c r="D15" s="17">
        <v>100</v>
      </c>
      <c r="E15" s="17">
        <v>200</v>
      </c>
      <c r="F15" s="17">
        <v>20</v>
      </c>
      <c r="G15" s="17">
        <v>50</v>
      </c>
      <c r="H15" s="17">
        <v>40</v>
      </c>
      <c r="I15" s="17">
        <v>1000</v>
      </c>
      <c r="J15" s="17">
        <v>800</v>
      </c>
      <c r="K15" s="17">
        <v>200</v>
      </c>
      <c r="L15" s="17">
        <f t="shared" si="10"/>
        <v>2598.5299999999997</v>
      </c>
      <c r="M15" s="17">
        <f t="shared" si="11"/>
        <v>3378.0889999999999</v>
      </c>
      <c r="N15" s="17">
        <f t="shared" si="12"/>
        <v>3897.7949999999996</v>
      </c>
      <c r="O15" s="17">
        <f t="shared" si="13"/>
        <v>4417.5009999999993</v>
      </c>
      <c r="P15" s="17">
        <f t="shared" si="14"/>
        <v>5197.0599999999995</v>
      </c>
      <c r="Q15" s="44" t="s">
        <v>66</v>
      </c>
    </row>
    <row r="16" spans="1:23" x14ac:dyDescent="0.25">
      <c r="A16" s="27">
        <v>45918</v>
      </c>
      <c r="B16" s="16" t="s">
        <v>96</v>
      </c>
      <c r="C16" s="17">
        <v>188.53</v>
      </c>
      <c r="D16" s="17">
        <v>100</v>
      </c>
      <c r="E16" s="17">
        <v>200</v>
      </c>
      <c r="F16" s="17">
        <v>20</v>
      </c>
      <c r="G16" s="17">
        <v>50</v>
      </c>
      <c r="H16" s="17">
        <v>40</v>
      </c>
      <c r="I16" s="17">
        <v>1000</v>
      </c>
      <c r="J16" s="17">
        <v>800</v>
      </c>
      <c r="K16" s="17">
        <v>200</v>
      </c>
      <c r="L16" s="17">
        <f t="shared" si="10"/>
        <v>2598.5299999999997</v>
      </c>
      <c r="M16" s="17">
        <f t="shared" si="11"/>
        <v>3378.0889999999999</v>
      </c>
      <c r="N16" s="17">
        <f t="shared" si="12"/>
        <v>3897.7949999999996</v>
      </c>
      <c r="O16" s="17">
        <f t="shared" si="13"/>
        <v>4417.5009999999993</v>
      </c>
      <c r="P16" s="17">
        <f t="shared" si="14"/>
        <v>5197.0599999999995</v>
      </c>
      <c r="Q16" s="44" t="s">
        <v>66</v>
      </c>
    </row>
    <row r="17" spans="1:20" x14ac:dyDescent="0.25">
      <c r="A17" s="27">
        <v>45917</v>
      </c>
      <c r="B17" s="16" t="s">
        <v>96</v>
      </c>
      <c r="C17" s="17">
        <v>188.53</v>
      </c>
      <c r="D17" s="17">
        <v>100</v>
      </c>
      <c r="E17" s="17">
        <v>200</v>
      </c>
      <c r="F17" s="17">
        <v>20</v>
      </c>
      <c r="G17" s="17">
        <v>50</v>
      </c>
      <c r="H17" s="17">
        <v>40</v>
      </c>
      <c r="I17" s="17">
        <v>1000</v>
      </c>
      <c r="J17" s="17">
        <v>800</v>
      </c>
      <c r="K17" s="17">
        <v>200</v>
      </c>
      <c r="L17" s="17">
        <f t="shared" ref="L17:L19" si="15">SUM(C17:K17)</f>
        <v>2598.5299999999997</v>
      </c>
      <c r="M17" s="17">
        <f t="shared" ref="M17:M19" si="16">L17*(1+$S$2)</f>
        <v>3378.0889999999999</v>
      </c>
      <c r="N17" s="17">
        <f t="shared" ref="N17:N19" si="17">L17*(1+$T$2)</f>
        <v>3897.7949999999996</v>
      </c>
      <c r="O17" s="17">
        <f t="shared" ref="O17:O19" si="18">L17*(1+$U$2)</f>
        <v>4417.5009999999993</v>
      </c>
      <c r="P17" s="17">
        <f t="shared" ref="P17:P19" si="19">L17*(1+$V$2)</f>
        <v>5197.0599999999995</v>
      </c>
      <c r="Q17" s="44" t="s">
        <v>66</v>
      </c>
    </row>
    <row r="18" spans="1:20" x14ac:dyDescent="0.25">
      <c r="A18" s="27">
        <v>45918</v>
      </c>
      <c r="B18" s="16" t="s">
        <v>96</v>
      </c>
      <c r="C18" s="17">
        <v>188.53</v>
      </c>
      <c r="D18" s="17">
        <v>100</v>
      </c>
      <c r="E18" s="17">
        <v>200</v>
      </c>
      <c r="F18" s="17">
        <v>20</v>
      </c>
      <c r="G18" s="17">
        <v>50</v>
      </c>
      <c r="H18" s="17">
        <v>40</v>
      </c>
      <c r="I18" s="17">
        <v>1000</v>
      </c>
      <c r="J18" s="17">
        <v>800</v>
      </c>
      <c r="K18" s="17">
        <v>200</v>
      </c>
      <c r="L18" s="17">
        <f t="shared" si="15"/>
        <v>2598.5299999999997</v>
      </c>
      <c r="M18" s="17">
        <f t="shared" si="16"/>
        <v>3378.0889999999999</v>
      </c>
      <c r="N18" s="17">
        <f t="shared" si="17"/>
        <v>3897.7949999999996</v>
      </c>
      <c r="O18" s="17">
        <f t="shared" si="18"/>
        <v>4417.5009999999993</v>
      </c>
      <c r="P18" s="17">
        <f t="shared" si="19"/>
        <v>5197.0599999999995</v>
      </c>
      <c r="Q18" s="44" t="s">
        <v>66</v>
      </c>
    </row>
    <row r="19" spans="1:20" x14ac:dyDescent="0.25">
      <c r="A19" s="27">
        <v>45917</v>
      </c>
      <c r="B19" s="16" t="s">
        <v>96</v>
      </c>
      <c r="C19" s="17">
        <v>188.53</v>
      </c>
      <c r="D19" s="17">
        <v>100</v>
      </c>
      <c r="E19" s="17">
        <v>200</v>
      </c>
      <c r="F19" s="17">
        <v>20</v>
      </c>
      <c r="G19" s="17">
        <v>50</v>
      </c>
      <c r="H19" s="17">
        <v>40</v>
      </c>
      <c r="I19" s="17">
        <v>1000</v>
      </c>
      <c r="J19" s="17">
        <v>800</v>
      </c>
      <c r="K19" s="17">
        <v>200</v>
      </c>
      <c r="L19" s="17">
        <f t="shared" si="15"/>
        <v>2598.5299999999997</v>
      </c>
      <c r="M19" s="17">
        <f t="shared" si="16"/>
        <v>3378.0889999999999</v>
      </c>
      <c r="N19" s="17">
        <f t="shared" si="17"/>
        <v>3897.7949999999996</v>
      </c>
      <c r="O19" s="17">
        <f t="shared" si="18"/>
        <v>4417.5009999999993</v>
      </c>
      <c r="P19" s="17">
        <f t="shared" si="19"/>
        <v>5197.0599999999995</v>
      </c>
      <c r="Q19" s="44" t="s">
        <v>66</v>
      </c>
    </row>
    <row r="20" spans="1:20" x14ac:dyDescent="0.25">
      <c r="A20" s="27">
        <v>45917</v>
      </c>
      <c r="B20" s="16" t="s">
        <v>96</v>
      </c>
      <c r="C20" s="17">
        <v>188.53</v>
      </c>
      <c r="D20" s="17">
        <v>100</v>
      </c>
      <c r="E20" s="17">
        <v>200</v>
      </c>
      <c r="F20" s="17">
        <v>20</v>
      </c>
      <c r="G20" s="17">
        <v>50</v>
      </c>
      <c r="H20" s="17">
        <v>40</v>
      </c>
      <c r="I20" s="17">
        <v>1000</v>
      </c>
      <c r="J20" s="17">
        <v>800</v>
      </c>
      <c r="K20" s="17">
        <v>200</v>
      </c>
      <c r="L20" s="17">
        <f t="shared" ref="L20:L23" si="20">SUM(C20:K20)</f>
        <v>2598.5299999999997</v>
      </c>
      <c r="M20" s="17">
        <f t="shared" ref="M20:M24" si="21">L20*(1+$S$2)</f>
        <v>3378.0889999999999</v>
      </c>
      <c r="N20" s="17">
        <f t="shared" ref="N20:N23" si="22">L20*(1+$T$2)</f>
        <v>3897.7949999999996</v>
      </c>
      <c r="O20" s="17">
        <f t="shared" ref="O20:O23" si="23">L20*(1+$U$2)</f>
        <v>4417.5009999999993</v>
      </c>
      <c r="P20" s="17">
        <f t="shared" ref="P20:P23" si="24">L20*(1+$V$2)</f>
        <v>5197.0599999999995</v>
      </c>
      <c r="Q20" s="44" t="s">
        <v>66</v>
      </c>
    </row>
    <row r="21" spans="1:20" x14ac:dyDescent="0.25">
      <c r="A21" s="27">
        <v>45918</v>
      </c>
      <c r="B21" s="16" t="s">
        <v>96</v>
      </c>
      <c r="C21" s="17">
        <v>188.53</v>
      </c>
      <c r="D21" s="17">
        <v>100</v>
      </c>
      <c r="E21" s="17">
        <v>200</v>
      </c>
      <c r="F21" s="17">
        <v>20</v>
      </c>
      <c r="G21" s="17">
        <v>50</v>
      </c>
      <c r="H21" s="17">
        <v>40</v>
      </c>
      <c r="I21" s="17">
        <v>1000</v>
      </c>
      <c r="J21" s="17">
        <v>800</v>
      </c>
      <c r="K21" s="17">
        <v>200</v>
      </c>
      <c r="L21" s="17">
        <f t="shared" ref="L21" si="25">SUM(C21:K21)</f>
        <v>2598.5299999999997</v>
      </c>
      <c r="M21" s="17">
        <f t="shared" ref="M21:M22" si="26">L21*(1+$S$2)</f>
        <v>3378.0889999999999</v>
      </c>
      <c r="N21" s="17">
        <f t="shared" ref="N21:N22" si="27">L21*(1+$T$2)</f>
        <v>3897.7949999999996</v>
      </c>
      <c r="O21" s="17">
        <f t="shared" ref="O21:O22" si="28">L21*(1+$U$2)</f>
        <v>4417.5009999999993</v>
      </c>
      <c r="P21" s="17">
        <f t="shared" ref="P21:P22" si="29">L21*(1+$V$2)</f>
        <v>5197.0599999999995</v>
      </c>
      <c r="Q21" s="44" t="s">
        <v>65</v>
      </c>
    </row>
    <row r="22" spans="1:20" x14ac:dyDescent="0.25">
      <c r="A22" s="27">
        <v>45918</v>
      </c>
      <c r="B22" s="16" t="s">
        <v>96</v>
      </c>
      <c r="C22" s="17">
        <v>188.53</v>
      </c>
      <c r="D22" s="17">
        <v>100</v>
      </c>
      <c r="E22" s="17"/>
      <c r="F22" s="17">
        <v>20</v>
      </c>
      <c r="G22" s="17">
        <v>50</v>
      </c>
      <c r="H22" s="17"/>
      <c r="I22" s="17">
        <v>1000</v>
      </c>
      <c r="J22" s="17">
        <v>800</v>
      </c>
      <c r="K22" s="17">
        <v>200</v>
      </c>
      <c r="L22" s="17">
        <f t="shared" ref="L22" si="30">SUM(C22:K22)</f>
        <v>2358.5299999999997</v>
      </c>
      <c r="M22" s="17">
        <f t="shared" si="26"/>
        <v>3066.0889999999999</v>
      </c>
      <c r="N22" s="17">
        <f t="shared" si="27"/>
        <v>3537.7949999999996</v>
      </c>
      <c r="O22" s="17">
        <f t="shared" si="28"/>
        <v>4009.5009999999993</v>
      </c>
      <c r="P22" s="17">
        <f t="shared" si="29"/>
        <v>4717.0599999999995</v>
      </c>
      <c r="Q22" s="44" t="s">
        <v>65</v>
      </c>
    </row>
    <row r="23" spans="1:20" x14ac:dyDescent="0.25">
      <c r="A23" s="27">
        <v>45918</v>
      </c>
      <c r="B23" s="16" t="s">
        <v>96</v>
      </c>
      <c r="C23" s="17">
        <v>188.53</v>
      </c>
      <c r="D23" s="17">
        <v>100</v>
      </c>
      <c r="E23" s="17">
        <v>200</v>
      </c>
      <c r="F23" s="17">
        <v>20</v>
      </c>
      <c r="G23" s="17">
        <v>50</v>
      </c>
      <c r="H23" s="17">
        <v>40</v>
      </c>
      <c r="I23" s="17">
        <v>1000</v>
      </c>
      <c r="J23" s="17">
        <v>800</v>
      </c>
      <c r="K23" s="17">
        <v>200</v>
      </c>
      <c r="L23" s="17">
        <f t="shared" si="20"/>
        <v>2598.5299999999997</v>
      </c>
      <c r="M23" s="17">
        <f t="shared" si="21"/>
        <v>3378.0889999999999</v>
      </c>
      <c r="N23" s="17">
        <f t="shared" si="22"/>
        <v>3897.7949999999996</v>
      </c>
      <c r="O23" s="17">
        <f t="shared" si="23"/>
        <v>4417.5009999999993</v>
      </c>
      <c r="P23" s="17">
        <f t="shared" si="24"/>
        <v>5197.0599999999995</v>
      </c>
      <c r="Q23" s="44" t="s">
        <v>65</v>
      </c>
    </row>
    <row r="24" spans="1:20" x14ac:dyDescent="0.25">
      <c r="A24" s="27">
        <v>45918</v>
      </c>
      <c r="B24" s="16" t="s">
        <v>96</v>
      </c>
      <c r="C24" s="17">
        <v>188.53</v>
      </c>
      <c r="D24" s="17">
        <v>100</v>
      </c>
      <c r="E24" s="17"/>
      <c r="F24" s="17">
        <v>20</v>
      </c>
      <c r="G24" s="17">
        <v>50</v>
      </c>
      <c r="H24" s="17"/>
      <c r="I24" s="17">
        <v>1000</v>
      </c>
      <c r="J24" s="17">
        <v>800</v>
      </c>
      <c r="K24" s="17">
        <v>200</v>
      </c>
      <c r="L24" s="17">
        <f t="shared" ref="L24" si="31">SUM(C24:K24)</f>
        <v>2358.5299999999997</v>
      </c>
      <c r="M24" s="17">
        <f t="shared" si="21"/>
        <v>3066.0889999999999</v>
      </c>
      <c r="N24" s="17">
        <f t="shared" ref="N24" si="32">L24*(1+$T$2)</f>
        <v>3537.7949999999996</v>
      </c>
      <c r="O24" s="17">
        <f t="shared" ref="O24" si="33">L24*(1+$U$2)</f>
        <v>4009.5009999999993</v>
      </c>
      <c r="P24" s="17">
        <f t="shared" ref="P24" si="34">L24*(1+$V$2)</f>
        <v>4717.0599999999995</v>
      </c>
      <c r="Q24" s="44" t="s">
        <v>65</v>
      </c>
    </row>
    <row r="25" spans="1:20" x14ac:dyDescent="0.25">
      <c r="A25" s="28"/>
      <c r="B25" s="19"/>
      <c r="C25" s="19"/>
      <c r="D25" s="19"/>
      <c r="E25" s="19"/>
      <c r="F25" s="19"/>
      <c r="G25" s="19"/>
      <c r="H25" s="19"/>
      <c r="I25" s="19"/>
      <c r="J25" s="19"/>
      <c r="K25" s="25" t="s">
        <v>24</v>
      </c>
      <c r="L25" s="26">
        <f>SUM(L3:L24)</f>
        <v>56687.659999999982</v>
      </c>
      <c r="M25" s="26">
        <f>SUM(M3:M24)</f>
        <v>73693.958000000013</v>
      </c>
      <c r="N25" s="26">
        <f>SUM(N3:N24)</f>
        <v>85031.489999999976</v>
      </c>
      <c r="O25" s="26">
        <f>SUM(O3:O24)</f>
        <v>96369.021999999997</v>
      </c>
      <c r="P25" s="26">
        <f>SUM(P3:P24)</f>
        <v>113375.31999999996</v>
      </c>
      <c r="Q25" s="29"/>
    </row>
    <row r="26" spans="1:20" x14ac:dyDescent="0.25">
      <c r="A26" s="28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20"/>
      <c r="M26" s="20"/>
      <c r="N26" s="20"/>
      <c r="O26" s="20"/>
      <c r="P26" s="20"/>
      <c r="Q26" s="30"/>
      <c r="T26" s="23"/>
    </row>
    <row r="27" spans="1:20" x14ac:dyDescent="0.25">
      <c r="A27" s="2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30"/>
    </row>
    <row r="28" spans="1:20" ht="18.75" x14ac:dyDescent="0.3">
      <c r="A28" s="58" t="s">
        <v>100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60"/>
      <c r="O28" s="60"/>
      <c r="P28" s="60"/>
      <c r="Q28" s="61"/>
    </row>
    <row r="29" spans="1:20" x14ac:dyDescent="0.25">
      <c r="A29" s="50" t="s">
        <v>10</v>
      </c>
      <c r="B29" s="48" t="s">
        <v>11</v>
      </c>
      <c r="C29" s="48" t="s">
        <v>12</v>
      </c>
      <c r="D29" s="48" t="s">
        <v>13</v>
      </c>
      <c r="E29" s="48" t="s">
        <v>14</v>
      </c>
      <c r="F29" s="48" t="s">
        <v>16</v>
      </c>
      <c r="G29" s="48" t="s">
        <v>15</v>
      </c>
      <c r="H29" s="48" t="s">
        <v>17</v>
      </c>
      <c r="I29" s="48" t="s">
        <v>90</v>
      </c>
      <c r="J29" s="48" t="s">
        <v>19</v>
      </c>
      <c r="K29" s="48" t="s">
        <v>20</v>
      </c>
      <c r="L29" s="48" t="s">
        <v>89</v>
      </c>
      <c r="M29" s="48" t="s">
        <v>77</v>
      </c>
      <c r="N29" s="48" t="s">
        <v>78</v>
      </c>
      <c r="O29" s="48" t="s">
        <v>79</v>
      </c>
      <c r="P29" s="48" t="s">
        <v>86</v>
      </c>
      <c r="Q29" s="51" t="s">
        <v>22</v>
      </c>
    </row>
    <row r="30" spans="1:20" x14ac:dyDescent="0.25">
      <c r="A30" s="27">
        <v>45912</v>
      </c>
      <c r="B30" s="16" t="s">
        <v>96</v>
      </c>
      <c r="C30" s="17">
        <v>188.53</v>
      </c>
      <c r="D30" s="17">
        <v>100</v>
      </c>
      <c r="E30" s="17">
        <v>150</v>
      </c>
      <c r="F30" s="17">
        <v>20</v>
      </c>
      <c r="G30" s="17">
        <v>50</v>
      </c>
      <c r="H30" s="17">
        <v>40</v>
      </c>
      <c r="I30" s="17">
        <f>300*30</f>
        <v>9000</v>
      </c>
      <c r="J30" s="17">
        <v>800</v>
      </c>
      <c r="K30" s="17">
        <v>100</v>
      </c>
      <c r="L30" s="17">
        <f>SUM(C30:K30)</f>
        <v>10448.530000000001</v>
      </c>
      <c r="M30" s="17">
        <f>L30*(1+$S$2)</f>
        <v>13583.089000000002</v>
      </c>
      <c r="N30" s="17">
        <f>L30*(1+$T$2)</f>
        <v>15672.795000000002</v>
      </c>
      <c r="O30" s="17">
        <f>L30*(1+$U$2)</f>
        <v>17762.501</v>
      </c>
      <c r="P30" s="17">
        <f>L30*(1+$V$2)</f>
        <v>20897.060000000001</v>
      </c>
      <c r="Q30" s="44" t="s">
        <v>67</v>
      </c>
    </row>
    <row r="31" spans="1:20" x14ac:dyDescent="0.25">
      <c r="A31" s="27">
        <v>45913</v>
      </c>
      <c r="B31" s="16" t="s">
        <v>96</v>
      </c>
      <c r="C31" s="17">
        <v>188.53</v>
      </c>
      <c r="D31" s="17">
        <v>100</v>
      </c>
      <c r="E31" s="17">
        <v>150</v>
      </c>
      <c r="F31" s="17">
        <v>20</v>
      </c>
      <c r="G31" s="17">
        <v>50</v>
      </c>
      <c r="H31" s="17">
        <v>40</v>
      </c>
      <c r="I31" s="17"/>
      <c r="J31" s="17">
        <v>800</v>
      </c>
      <c r="K31" s="17">
        <v>100</v>
      </c>
      <c r="L31" s="17">
        <f>SUM(C31:K31)</f>
        <v>1448.53</v>
      </c>
      <c r="M31" s="17">
        <f>L31*(1+$S$2)</f>
        <v>1883.0889999999999</v>
      </c>
      <c r="N31" s="17">
        <f>L31*(1+$T$2)</f>
        <v>2172.7950000000001</v>
      </c>
      <c r="O31" s="17">
        <f t="shared" ref="O31:O34" si="35">L31*(1+$U$2)</f>
        <v>2462.5009999999997</v>
      </c>
      <c r="P31" s="17">
        <f t="shared" ref="P31:P34" si="36">L31*(1+$V$2)</f>
        <v>2897.06</v>
      </c>
      <c r="Q31" s="44" t="s">
        <v>67</v>
      </c>
    </row>
    <row r="32" spans="1:20" x14ac:dyDescent="0.25">
      <c r="A32" s="27">
        <v>45912</v>
      </c>
      <c r="B32" s="16" t="s">
        <v>96</v>
      </c>
      <c r="C32" s="17">
        <v>188.53</v>
      </c>
      <c r="D32" s="17">
        <v>100</v>
      </c>
      <c r="E32" s="17">
        <v>150</v>
      </c>
      <c r="F32" s="17">
        <v>20</v>
      </c>
      <c r="G32" s="17">
        <v>50</v>
      </c>
      <c r="H32" s="17">
        <v>40</v>
      </c>
      <c r="I32" s="17"/>
      <c r="J32" s="17">
        <v>800</v>
      </c>
      <c r="K32" s="17">
        <v>100</v>
      </c>
      <c r="L32" s="17">
        <f>SUM(C32:K32)</f>
        <v>1448.53</v>
      </c>
      <c r="M32" s="17">
        <f>L32*(1+$S$2)</f>
        <v>1883.0889999999999</v>
      </c>
      <c r="N32" s="17">
        <f>L32*(1+$T$2)</f>
        <v>2172.7950000000001</v>
      </c>
      <c r="O32" s="17">
        <f>L32*(1+$U$2)</f>
        <v>2462.5009999999997</v>
      </c>
      <c r="P32" s="17">
        <f>L32*(1+$V$2)</f>
        <v>2897.06</v>
      </c>
      <c r="Q32" s="44" t="s">
        <v>67</v>
      </c>
    </row>
    <row r="33" spans="1:23" x14ac:dyDescent="0.25">
      <c r="A33" s="27">
        <v>45913</v>
      </c>
      <c r="B33" s="16" t="s">
        <v>96</v>
      </c>
      <c r="C33" s="17">
        <v>188.53</v>
      </c>
      <c r="D33" s="17">
        <v>100</v>
      </c>
      <c r="E33" s="17">
        <v>150</v>
      </c>
      <c r="F33" s="17">
        <v>20</v>
      </c>
      <c r="G33" s="17">
        <v>50</v>
      </c>
      <c r="H33" s="17">
        <v>40</v>
      </c>
      <c r="I33" s="17"/>
      <c r="J33" s="17">
        <v>800</v>
      </c>
      <c r="K33" s="17">
        <v>100</v>
      </c>
      <c r="L33" s="17">
        <f>SUM(C33:K33)</f>
        <v>1448.53</v>
      </c>
      <c r="M33" s="17">
        <f>L33*(1+$S$2)</f>
        <v>1883.0889999999999</v>
      </c>
      <c r="N33" s="17">
        <f>L33*(1+$T$2)</f>
        <v>2172.7950000000001</v>
      </c>
      <c r="O33" s="17">
        <f t="shared" ref="O33" si="37">L33*(1+$U$2)</f>
        <v>2462.5009999999997</v>
      </c>
      <c r="P33" s="17">
        <f t="shared" ref="P33" si="38">L33*(1+$V$2)</f>
        <v>2897.06</v>
      </c>
      <c r="Q33" s="44" t="s">
        <v>67</v>
      </c>
    </row>
    <row r="34" spans="1:23" x14ac:dyDescent="0.25">
      <c r="A34" s="27">
        <v>45914</v>
      </c>
      <c r="B34" s="16" t="s">
        <v>96</v>
      </c>
      <c r="C34" s="17">
        <v>188.53</v>
      </c>
      <c r="D34" s="17">
        <v>100</v>
      </c>
      <c r="E34" s="17"/>
      <c r="F34" s="17">
        <v>20</v>
      </c>
      <c r="G34" s="17">
        <v>50</v>
      </c>
      <c r="H34" s="17"/>
      <c r="I34" s="17"/>
      <c r="J34" s="17">
        <v>800</v>
      </c>
      <c r="K34" s="17">
        <v>100</v>
      </c>
      <c r="L34" s="17">
        <f>SUM(C34:K34)</f>
        <v>1258.53</v>
      </c>
      <c r="M34" s="17">
        <f>L34*(1+$S$2)</f>
        <v>1636.0889999999999</v>
      </c>
      <c r="N34" s="17">
        <f>L34*(1+$T$2)</f>
        <v>1887.7950000000001</v>
      </c>
      <c r="O34" s="17">
        <f t="shared" si="35"/>
        <v>2139.5009999999997</v>
      </c>
      <c r="P34" s="17">
        <f t="shared" si="36"/>
        <v>2517.06</v>
      </c>
      <c r="Q34" s="44" t="s">
        <v>67</v>
      </c>
    </row>
    <row r="35" spans="1:23" x14ac:dyDescent="0.25">
      <c r="A35" s="28"/>
      <c r="B35" s="19"/>
      <c r="C35" s="19"/>
      <c r="D35" s="19"/>
      <c r="E35" s="19"/>
      <c r="F35" s="19"/>
      <c r="G35" s="19"/>
      <c r="H35" s="19"/>
      <c r="I35" s="19"/>
      <c r="J35" s="19"/>
      <c r="K35" s="25" t="s">
        <v>24</v>
      </c>
      <c r="L35" s="26">
        <f>SUM(L30:L34)</f>
        <v>16052.650000000003</v>
      </c>
      <c r="M35" s="26">
        <f>SUM(M30:M34)</f>
        <v>20868.445</v>
      </c>
      <c r="N35" s="26">
        <f>SUM(N30:N34)</f>
        <v>24078.974999999999</v>
      </c>
      <c r="O35" s="26">
        <f>SUM(O30:O34)</f>
        <v>27289.505000000001</v>
      </c>
      <c r="P35" s="26">
        <f>SUM(P30:P34)</f>
        <v>32105.300000000007</v>
      </c>
      <c r="Q35" s="29"/>
    </row>
    <row r="36" spans="1:23" x14ac:dyDescent="0.25">
      <c r="A36" s="2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30"/>
    </row>
    <row r="37" spans="1:23" x14ac:dyDescent="0.25">
      <c r="A37" s="28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30"/>
    </row>
    <row r="38" spans="1:23" ht="18.75" x14ac:dyDescent="0.3">
      <c r="A38" s="58" t="s">
        <v>101</v>
      </c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60"/>
      <c r="O38" s="60"/>
      <c r="P38" s="60"/>
      <c r="Q38" s="61"/>
    </row>
    <row r="39" spans="1:23" x14ac:dyDescent="0.25">
      <c r="A39" s="50" t="s">
        <v>10</v>
      </c>
      <c r="B39" s="48" t="s">
        <v>11</v>
      </c>
      <c r="C39" s="62" t="s">
        <v>47</v>
      </c>
      <c r="D39" s="63"/>
      <c r="E39" s="63"/>
      <c r="F39" s="63"/>
      <c r="G39" s="63"/>
      <c r="H39" s="63"/>
      <c r="I39" s="64"/>
      <c r="J39" s="48" t="s">
        <v>48</v>
      </c>
      <c r="K39" s="48" t="s">
        <v>38</v>
      </c>
      <c r="L39" s="48" t="s">
        <v>89</v>
      </c>
      <c r="M39" s="48" t="s">
        <v>77</v>
      </c>
      <c r="N39" s="48" t="s">
        <v>78</v>
      </c>
      <c r="O39" s="48" t="s">
        <v>79</v>
      </c>
      <c r="P39" s="48" t="s">
        <v>86</v>
      </c>
      <c r="Q39" s="51" t="s">
        <v>22</v>
      </c>
      <c r="S39" s="23"/>
      <c r="T39" s="23"/>
    </row>
    <row r="40" spans="1:23" ht="68.25" customHeight="1" x14ac:dyDescent="0.25">
      <c r="A40" s="27">
        <v>45916</v>
      </c>
      <c r="B40" s="11" t="s">
        <v>96</v>
      </c>
      <c r="C40" s="72" t="s">
        <v>49</v>
      </c>
      <c r="D40" s="73"/>
      <c r="E40" s="73"/>
      <c r="F40" s="73"/>
      <c r="G40" s="73"/>
      <c r="H40" s="73"/>
      <c r="I40" s="74"/>
      <c r="J40" s="18">
        <v>3000</v>
      </c>
      <c r="K40" s="17">
        <v>30</v>
      </c>
      <c r="L40" s="17">
        <f>J40*K40</f>
        <v>90000</v>
      </c>
      <c r="M40" s="17">
        <f>L40*(1+$S$2)</f>
        <v>117000</v>
      </c>
      <c r="N40" s="17">
        <f>L40*(1+$T$2)</f>
        <v>135000</v>
      </c>
      <c r="O40" s="17">
        <f>L40*(1+$U$2)</f>
        <v>153000</v>
      </c>
      <c r="P40" s="17">
        <f>L40*(1+$V$2)</f>
        <v>180000</v>
      </c>
      <c r="Q40" s="44" t="s">
        <v>66</v>
      </c>
    </row>
    <row r="41" spans="1:23" x14ac:dyDescent="0.25">
      <c r="A41" s="31"/>
      <c r="K41" s="25" t="s">
        <v>24</v>
      </c>
      <c r="L41" s="26">
        <f>SUM(L40:L40)</f>
        <v>90000</v>
      </c>
      <c r="M41" s="26">
        <f>SUM(M40:M40)</f>
        <v>117000</v>
      </c>
      <c r="N41" s="26">
        <f>SUM(N40:N40)</f>
        <v>135000</v>
      </c>
      <c r="O41" s="26">
        <f>SUM(O40:O40)</f>
        <v>153000</v>
      </c>
      <c r="P41" s="26">
        <f>SUM(P40:P40)</f>
        <v>180000</v>
      </c>
      <c r="Q41" s="29"/>
      <c r="S41" s="23">
        <f>L41+L35+L25</f>
        <v>162740.31</v>
      </c>
      <c r="T41" s="23">
        <f>M41+M35+M25</f>
        <v>211562.40300000002</v>
      </c>
      <c r="U41" s="23">
        <f>N41+N35+N25</f>
        <v>244110.46499999997</v>
      </c>
      <c r="V41" s="23">
        <f>O41+O35+O25</f>
        <v>276658.527</v>
      </c>
      <c r="W41" s="23">
        <f>P41+P35+P25</f>
        <v>325480.62</v>
      </c>
    </row>
    <row r="42" spans="1:23" x14ac:dyDescent="0.25">
      <c r="A42" s="31"/>
      <c r="Q42" s="32"/>
    </row>
    <row r="43" spans="1:23" x14ac:dyDescent="0.25">
      <c r="A43" s="31"/>
      <c r="K43" s="42"/>
      <c r="Q43" s="32"/>
    </row>
    <row r="44" spans="1:23" ht="18.75" x14ac:dyDescent="0.3">
      <c r="A44" s="58" t="s">
        <v>102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60"/>
      <c r="O44" s="60"/>
      <c r="P44" s="60"/>
      <c r="Q44" s="61"/>
    </row>
    <row r="45" spans="1:23" x14ac:dyDescent="0.25">
      <c r="A45" s="50" t="s">
        <v>10</v>
      </c>
      <c r="B45" s="48" t="s">
        <v>11</v>
      </c>
      <c r="C45" s="62" t="s">
        <v>47</v>
      </c>
      <c r="D45" s="63"/>
      <c r="E45" s="63"/>
      <c r="F45" s="63"/>
      <c r="G45" s="63"/>
      <c r="H45" s="63"/>
      <c r="I45" s="64"/>
      <c r="J45" s="48" t="s">
        <v>48</v>
      </c>
      <c r="K45" s="48" t="s">
        <v>38</v>
      </c>
      <c r="L45" s="48" t="s">
        <v>89</v>
      </c>
      <c r="M45" s="48" t="s">
        <v>77</v>
      </c>
      <c r="N45" s="48" t="s">
        <v>78</v>
      </c>
      <c r="O45" s="48" t="s">
        <v>79</v>
      </c>
      <c r="P45" s="48" t="s">
        <v>86</v>
      </c>
      <c r="Q45" s="51" t="s">
        <v>22</v>
      </c>
    </row>
    <row r="46" spans="1:23" ht="68.25" customHeight="1" x14ac:dyDescent="0.25">
      <c r="A46" s="27">
        <v>45925</v>
      </c>
      <c r="B46" s="11" t="s">
        <v>96</v>
      </c>
      <c r="C46" s="69" t="s">
        <v>59</v>
      </c>
      <c r="D46" s="70"/>
      <c r="E46" s="70"/>
      <c r="F46" s="70"/>
      <c r="G46" s="70"/>
      <c r="H46" s="70"/>
      <c r="I46" s="71"/>
      <c r="J46" s="18">
        <v>3000</v>
      </c>
      <c r="K46" s="17">
        <v>50.9</v>
      </c>
      <c r="L46" s="17">
        <f>J46*K46</f>
        <v>152700</v>
      </c>
      <c r="M46" s="17">
        <f>L46*(1+$S$2)</f>
        <v>198510</v>
      </c>
      <c r="N46" s="17">
        <f>L46*(1+$T$2)</f>
        <v>229050</v>
      </c>
      <c r="O46" s="17">
        <f>L46*(1+$U$2)</f>
        <v>259590</v>
      </c>
      <c r="P46" s="17">
        <f>L46*(1+$V$2)</f>
        <v>305400</v>
      </c>
      <c r="Q46" s="45" t="s">
        <v>68</v>
      </c>
    </row>
    <row r="47" spans="1:23" x14ac:dyDescent="0.25">
      <c r="A47" s="31"/>
      <c r="K47" s="25" t="s">
        <v>24</v>
      </c>
      <c r="L47" s="26">
        <f>SUM(L46:L46)</f>
        <v>152700</v>
      </c>
      <c r="M47" s="26">
        <f>SUM(M46:M46)</f>
        <v>198510</v>
      </c>
      <c r="N47" s="26">
        <f>SUM(N46:N46)</f>
        <v>229050</v>
      </c>
      <c r="O47" s="26">
        <f>SUM(O46:O46)</f>
        <v>259590</v>
      </c>
      <c r="P47" s="26">
        <f>SUM(P46:P46)</f>
        <v>305400</v>
      </c>
      <c r="Q47" s="29"/>
    </row>
    <row r="48" spans="1:23" x14ac:dyDescent="0.25">
      <c r="A48" s="31"/>
      <c r="Q48" s="32"/>
    </row>
    <row r="49" spans="1:19" x14ac:dyDescent="0.25">
      <c r="A49" s="31"/>
      <c r="Q49" s="32"/>
    </row>
    <row r="50" spans="1:19" ht="15.75" thickBot="1" x14ac:dyDescent="0.3">
      <c r="A50" s="33"/>
      <c r="B50" s="34"/>
      <c r="C50" s="34"/>
      <c r="D50" s="34"/>
      <c r="E50" s="34"/>
      <c r="F50" s="34"/>
      <c r="G50" s="34"/>
      <c r="H50" s="34"/>
      <c r="I50" s="34"/>
      <c r="J50" s="34"/>
      <c r="K50" s="35" t="s">
        <v>24</v>
      </c>
      <c r="L50" s="36">
        <f>SUM(L25+L35+L41+L47)</f>
        <v>315440.31</v>
      </c>
      <c r="M50" s="36">
        <f>SUM(M25+M35+M41+M47)</f>
        <v>410072.40300000005</v>
      </c>
      <c r="N50" s="36">
        <f>SUM(N25+N35+N41+N47)</f>
        <v>473160.46499999997</v>
      </c>
      <c r="O50" s="36">
        <f>SUM(O25+O35+O41+O47)</f>
        <v>536248.527</v>
      </c>
      <c r="P50" s="36">
        <f>SUM(P25+P35+P41+P47)</f>
        <v>630880.62</v>
      </c>
      <c r="Q50" s="37"/>
      <c r="S50" s="23">
        <f>M50-L50</f>
        <v>94632.093000000052</v>
      </c>
    </row>
    <row r="51" spans="1:19" x14ac:dyDescent="0.25">
      <c r="S51" s="23"/>
    </row>
    <row r="52" spans="1:19" ht="15.75" thickBot="1" x14ac:dyDescent="0.3"/>
    <row r="53" spans="1:19" ht="18.75" x14ac:dyDescent="0.3">
      <c r="A53" s="65" t="s">
        <v>94</v>
      </c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7"/>
      <c r="O53" s="67"/>
      <c r="P53" s="67"/>
      <c r="Q53" s="68"/>
    </row>
    <row r="54" spans="1:19" x14ac:dyDescent="0.25">
      <c r="A54" s="46" t="s">
        <v>10</v>
      </c>
      <c r="B54" s="47" t="s">
        <v>11</v>
      </c>
      <c r="C54" s="47" t="s">
        <v>12</v>
      </c>
      <c r="D54" s="47" t="s">
        <v>13</v>
      </c>
      <c r="E54" s="47" t="s">
        <v>14</v>
      </c>
      <c r="F54" s="47" t="s">
        <v>16</v>
      </c>
      <c r="G54" s="47" t="s">
        <v>15</v>
      </c>
      <c r="H54" s="47" t="s">
        <v>17</v>
      </c>
      <c r="I54" s="47" t="s">
        <v>62</v>
      </c>
      <c r="J54" s="47" t="s">
        <v>63</v>
      </c>
      <c r="K54" s="47" t="s">
        <v>61</v>
      </c>
      <c r="L54" s="48" t="s">
        <v>89</v>
      </c>
      <c r="M54" s="48" t="s">
        <v>77</v>
      </c>
      <c r="N54" s="48" t="s">
        <v>78</v>
      </c>
      <c r="O54" s="48" t="s">
        <v>79</v>
      </c>
      <c r="P54" s="48" t="s">
        <v>86</v>
      </c>
      <c r="Q54" s="49" t="s">
        <v>22</v>
      </c>
    </row>
    <row r="55" spans="1:19" x14ac:dyDescent="0.25">
      <c r="A55" s="27" t="s">
        <v>95</v>
      </c>
      <c r="B55" s="16" t="s">
        <v>96</v>
      </c>
      <c r="C55" s="17">
        <v>7000</v>
      </c>
      <c r="D55" s="17">
        <v>1500</v>
      </c>
      <c r="E55" s="17"/>
      <c r="F55" s="23">
        <f>(15*10)*97</f>
        <v>14550</v>
      </c>
      <c r="G55" s="23">
        <f>(25*10)*97</f>
        <v>24250</v>
      </c>
      <c r="H55" s="17"/>
      <c r="I55" s="18">
        <v>5</v>
      </c>
      <c r="J55" s="18">
        <v>5800</v>
      </c>
      <c r="K55" s="17">
        <v>5</v>
      </c>
      <c r="L55" s="17">
        <f>(C55+D55+F55+G55)+(I55*J55*K55)</f>
        <v>192300</v>
      </c>
      <c r="M55" s="17">
        <f>L55*(1+$S$2)</f>
        <v>249990</v>
      </c>
      <c r="N55" s="17">
        <f>L55*(1+$T$2)</f>
        <v>288450</v>
      </c>
      <c r="O55" s="17">
        <f>L55*(1+$U$2)</f>
        <v>326910</v>
      </c>
      <c r="P55" s="17">
        <f>L55*(1+$V$2)</f>
        <v>384600</v>
      </c>
      <c r="Q55" s="38" t="s">
        <v>87</v>
      </c>
    </row>
    <row r="56" spans="1:19" x14ac:dyDescent="0.25">
      <c r="A56" s="28"/>
      <c r="B56" s="19"/>
      <c r="C56" s="19"/>
      <c r="D56" s="19"/>
      <c r="E56" s="19"/>
      <c r="F56" s="19"/>
      <c r="G56" s="19"/>
      <c r="H56" s="19"/>
      <c r="I56" s="19"/>
      <c r="J56" s="19"/>
      <c r="K56" s="25" t="s">
        <v>24</v>
      </c>
      <c r="L56" s="26">
        <f>SUM(L55:L55)</f>
        <v>192300</v>
      </c>
      <c r="M56" s="26">
        <f>SUM(M55:M55)</f>
        <v>249990</v>
      </c>
      <c r="N56" s="26">
        <f>SUM(N55:N55)</f>
        <v>288450</v>
      </c>
      <c r="O56" s="26">
        <f>SUM(O55:O55)</f>
        <v>326910</v>
      </c>
      <c r="P56" s="26">
        <f>SUM(P55:P55)</f>
        <v>384600</v>
      </c>
      <c r="Q56" s="29"/>
    </row>
    <row r="57" spans="1:19" x14ac:dyDescent="0.25">
      <c r="A57" s="31"/>
      <c r="J57" s="23"/>
      <c r="Q57" s="32"/>
    </row>
    <row r="58" spans="1:19" x14ac:dyDescent="0.25">
      <c r="A58" s="31"/>
      <c r="F58" s="23"/>
      <c r="H58" s="23"/>
      <c r="I58" s="23"/>
      <c r="L58" s="23"/>
      <c r="Q58" s="32"/>
    </row>
    <row r="59" spans="1:19" ht="15.75" thickBot="1" x14ac:dyDescent="0.3">
      <c r="A59" s="33"/>
      <c r="B59" s="34"/>
      <c r="C59" s="34"/>
      <c r="D59" s="34"/>
      <c r="E59" s="34"/>
      <c r="F59" s="34"/>
      <c r="G59" s="34"/>
      <c r="H59" s="34"/>
      <c r="I59" s="34"/>
      <c r="J59" s="34"/>
      <c r="K59" s="35" t="s">
        <v>24</v>
      </c>
      <c r="L59" s="36">
        <f>SUM(L56)</f>
        <v>192300</v>
      </c>
      <c r="M59" s="36">
        <f>SUM(M56)</f>
        <v>249990</v>
      </c>
      <c r="N59" s="36">
        <f>SUM(N56)</f>
        <v>288450</v>
      </c>
      <c r="O59" s="36">
        <f>SUM(O56)</f>
        <v>326910</v>
      </c>
      <c r="P59" s="36">
        <f>SUM(P56)</f>
        <v>384600</v>
      </c>
      <c r="Q59" s="37"/>
      <c r="S59" s="23">
        <f>M59-L59</f>
        <v>57690</v>
      </c>
    </row>
    <row r="60" spans="1:19" x14ac:dyDescent="0.25">
      <c r="S60" s="23"/>
    </row>
    <row r="61" spans="1:19" ht="15.75" thickBot="1" x14ac:dyDescent="0.3"/>
    <row r="62" spans="1:19" ht="18.75" x14ac:dyDescent="0.3">
      <c r="A62" s="65" t="s">
        <v>64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7"/>
      <c r="O62" s="67"/>
      <c r="P62" s="67"/>
      <c r="Q62" s="68"/>
    </row>
    <row r="63" spans="1:19" x14ac:dyDescent="0.25">
      <c r="A63" s="50" t="s">
        <v>10</v>
      </c>
      <c r="B63" s="48" t="s">
        <v>11</v>
      </c>
      <c r="C63" s="62" t="s">
        <v>47</v>
      </c>
      <c r="D63" s="63"/>
      <c r="E63" s="63"/>
      <c r="F63" s="63"/>
      <c r="G63" s="63"/>
      <c r="H63" s="63"/>
      <c r="I63" s="64"/>
      <c r="J63" s="48" t="s">
        <v>8</v>
      </c>
      <c r="K63" s="47" t="s">
        <v>88</v>
      </c>
      <c r="L63" s="48" t="s">
        <v>89</v>
      </c>
      <c r="M63" s="48" t="s">
        <v>77</v>
      </c>
      <c r="N63" s="48" t="s">
        <v>78</v>
      </c>
      <c r="O63" s="48" t="s">
        <v>79</v>
      </c>
      <c r="P63" s="48" t="s">
        <v>86</v>
      </c>
      <c r="Q63" s="51" t="s">
        <v>22</v>
      </c>
    </row>
    <row r="64" spans="1:19" x14ac:dyDescent="0.25">
      <c r="A64" s="27">
        <v>45936</v>
      </c>
      <c r="B64" s="11" t="s">
        <v>96</v>
      </c>
      <c r="C64" s="69" t="s">
        <v>69</v>
      </c>
      <c r="D64" s="70"/>
      <c r="E64" s="70"/>
      <c r="F64" s="70"/>
      <c r="G64" s="70"/>
      <c r="H64" s="70"/>
      <c r="I64" s="71"/>
      <c r="J64" s="18">
        <v>240</v>
      </c>
      <c r="K64" s="17">
        <v>200</v>
      </c>
      <c r="L64" s="17">
        <f>J64*K64</f>
        <v>48000</v>
      </c>
      <c r="M64" s="17">
        <f>L64*(1+$S$2)</f>
        <v>62400</v>
      </c>
      <c r="N64" s="17">
        <f t="shared" ref="N64" si="39">L64*(1+$T$2)</f>
        <v>72000</v>
      </c>
      <c r="O64" s="17">
        <f>L64*(1+$U$2)</f>
        <v>81600</v>
      </c>
      <c r="P64" s="17">
        <f>L64*(1+$V$2)</f>
        <v>96000</v>
      </c>
      <c r="Q64" s="45"/>
    </row>
    <row r="65" spans="1:19" x14ac:dyDescent="0.25">
      <c r="A65" s="31"/>
      <c r="K65" s="25" t="s">
        <v>24</v>
      </c>
      <c r="L65" s="26">
        <f>SUM(L64:L64)</f>
        <v>48000</v>
      </c>
      <c r="M65" s="26">
        <f>SUM(M64:M64)</f>
        <v>62400</v>
      </c>
      <c r="N65" s="26">
        <f>SUM(N64:N64)</f>
        <v>72000</v>
      </c>
      <c r="O65" s="26">
        <f>SUM(O64:O64)</f>
        <v>81600</v>
      </c>
      <c r="P65" s="26">
        <f>SUM(P64:P64)</f>
        <v>96000</v>
      </c>
      <c r="Q65" s="29"/>
    </row>
    <row r="66" spans="1:19" x14ac:dyDescent="0.25">
      <c r="A66" s="31"/>
      <c r="Q66" s="32"/>
    </row>
    <row r="67" spans="1:19" x14ac:dyDescent="0.25">
      <c r="A67" s="31"/>
      <c r="Q67" s="32"/>
    </row>
    <row r="68" spans="1:19" ht="18.75" x14ac:dyDescent="0.3">
      <c r="A68" s="58" t="s">
        <v>74</v>
      </c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60"/>
      <c r="O68" s="60"/>
      <c r="P68" s="60"/>
      <c r="Q68" s="61"/>
    </row>
    <row r="69" spans="1:19" x14ac:dyDescent="0.25">
      <c r="A69" s="46" t="s">
        <v>10</v>
      </c>
      <c r="B69" s="47" t="s">
        <v>11</v>
      </c>
      <c r="C69" s="47" t="s">
        <v>12</v>
      </c>
      <c r="D69" s="47" t="s">
        <v>13</v>
      </c>
      <c r="E69" s="47" t="s">
        <v>14</v>
      </c>
      <c r="F69" s="47" t="s">
        <v>16</v>
      </c>
      <c r="G69" s="47" t="s">
        <v>15</v>
      </c>
      <c r="H69" s="47" t="s">
        <v>17</v>
      </c>
      <c r="I69" s="47" t="s">
        <v>75</v>
      </c>
      <c r="J69" s="47" t="s">
        <v>76</v>
      </c>
      <c r="K69" s="47" t="s">
        <v>88</v>
      </c>
      <c r="L69" s="48" t="s">
        <v>89</v>
      </c>
      <c r="M69" s="48" t="s">
        <v>77</v>
      </c>
      <c r="N69" s="48" t="s">
        <v>78</v>
      </c>
      <c r="O69" s="48" t="s">
        <v>79</v>
      </c>
      <c r="P69" s="48" t="s">
        <v>86</v>
      </c>
      <c r="Q69" s="49" t="s">
        <v>22</v>
      </c>
    </row>
    <row r="70" spans="1:19" x14ac:dyDescent="0.25">
      <c r="A70" s="27">
        <v>45936</v>
      </c>
      <c r="B70" s="16" t="s">
        <v>96</v>
      </c>
      <c r="C70" s="17">
        <v>188.53</v>
      </c>
      <c r="D70" s="17">
        <v>50</v>
      </c>
      <c r="E70" s="17">
        <v>150</v>
      </c>
      <c r="F70" s="17">
        <v>10</v>
      </c>
      <c r="G70" s="17">
        <v>25</v>
      </c>
      <c r="H70" s="17">
        <v>20</v>
      </c>
      <c r="I70" s="18">
        <v>1</v>
      </c>
      <c r="J70" s="18">
        <v>8</v>
      </c>
      <c r="K70" s="17">
        <v>50</v>
      </c>
      <c r="L70" s="17">
        <f>(C70+D70+E70+F70+G70+H70)+(I70*J70*K70)</f>
        <v>843.53</v>
      </c>
      <c r="M70" s="17">
        <f>L70*(1+$S$2)</f>
        <v>1096.5889999999999</v>
      </c>
      <c r="N70" s="17">
        <f t="shared" ref="N70:N71" si="40">L70*(1+$T$2)</f>
        <v>1265.2950000000001</v>
      </c>
      <c r="O70" s="17">
        <f>L70*(1+$U$2)</f>
        <v>1434.001</v>
      </c>
      <c r="P70" s="17">
        <f>L70*(1+$V$2)</f>
        <v>1687.06</v>
      </c>
      <c r="Q70" s="38" t="s">
        <v>60</v>
      </c>
    </row>
    <row r="71" spans="1:19" x14ac:dyDescent="0.25">
      <c r="A71" s="27">
        <v>45937</v>
      </c>
      <c r="B71" s="16" t="s">
        <v>96</v>
      </c>
      <c r="C71" s="17">
        <v>188.53</v>
      </c>
      <c r="D71" s="17">
        <v>50</v>
      </c>
      <c r="E71" s="17">
        <v>150</v>
      </c>
      <c r="F71" s="17">
        <v>10</v>
      </c>
      <c r="G71" s="17">
        <v>25</v>
      </c>
      <c r="H71" s="17">
        <v>20</v>
      </c>
      <c r="I71" s="18">
        <v>1</v>
      </c>
      <c r="J71" s="18">
        <v>8</v>
      </c>
      <c r="K71" s="17">
        <v>50</v>
      </c>
      <c r="L71" s="17">
        <f>(C71+D71+E71+F71+G71+H71)+(I71*J71*K71)</f>
        <v>843.53</v>
      </c>
      <c r="M71" s="17">
        <f t="shared" ref="M71:M72" si="41">L71*(1+$S$2)</f>
        <v>1096.5889999999999</v>
      </c>
      <c r="N71" s="17">
        <f t="shared" si="40"/>
        <v>1265.2950000000001</v>
      </c>
      <c r="O71" s="17">
        <f t="shared" ref="O71:O72" si="42">L71*(1+$U$2)</f>
        <v>1434.001</v>
      </c>
      <c r="P71" s="17">
        <f t="shared" ref="P71:P72" si="43">L71*(1+$V$2)</f>
        <v>1687.06</v>
      </c>
      <c r="Q71" s="38" t="s">
        <v>60</v>
      </c>
    </row>
    <row r="72" spans="1:19" x14ac:dyDescent="0.25">
      <c r="A72" s="27">
        <v>45938</v>
      </c>
      <c r="B72" s="16" t="s">
        <v>96</v>
      </c>
      <c r="C72" s="17">
        <v>188.53</v>
      </c>
      <c r="D72" s="17">
        <v>50</v>
      </c>
      <c r="E72" s="17">
        <v>150</v>
      </c>
      <c r="F72" s="17">
        <v>10</v>
      </c>
      <c r="G72" s="17">
        <v>25</v>
      </c>
      <c r="H72" s="17">
        <v>20</v>
      </c>
      <c r="I72" s="18">
        <v>1</v>
      </c>
      <c r="J72" s="18">
        <v>8</v>
      </c>
      <c r="K72" s="17">
        <v>50</v>
      </c>
      <c r="L72" s="17">
        <f>(C72+D72+E72+F72+G72+H72)+(I72*J72*K72)</f>
        <v>843.53</v>
      </c>
      <c r="M72" s="17">
        <f t="shared" si="41"/>
        <v>1096.5889999999999</v>
      </c>
      <c r="N72" s="17">
        <f>L72*(1+$T$2)</f>
        <v>1265.2950000000001</v>
      </c>
      <c r="O72" s="17">
        <f t="shared" si="42"/>
        <v>1434.001</v>
      </c>
      <c r="P72" s="17">
        <f t="shared" si="43"/>
        <v>1687.06</v>
      </c>
      <c r="Q72" s="38" t="s">
        <v>60</v>
      </c>
    </row>
    <row r="73" spans="1:19" x14ac:dyDescent="0.25">
      <c r="A73" s="28"/>
      <c r="B73" s="19"/>
      <c r="C73" s="19"/>
      <c r="D73" s="19"/>
      <c r="E73" s="19"/>
      <c r="F73" s="19"/>
      <c r="G73" s="19"/>
      <c r="H73" s="19"/>
      <c r="I73" s="19"/>
      <c r="J73" s="19"/>
      <c r="K73" s="25" t="s">
        <v>24</v>
      </c>
      <c r="L73" s="26">
        <f>SUM(L70:L72)</f>
        <v>2530.59</v>
      </c>
      <c r="M73" s="26">
        <f>SUM(M70:M72)</f>
        <v>3289.7669999999998</v>
      </c>
      <c r="N73" s="26">
        <f>SUM(N70:N72)</f>
        <v>3795.8850000000002</v>
      </c>
      <c r="O73" s="26">
        <f>SUM(O70:O72)</f>
        <v>4302.0029999999997</v>
      </c>
      <c r="P73" s="26">
        <f>SUM(P70:P72)</f>
        <v>5061.18</v>
      </c>
      <c r="Q73" s="29"/>
    </row>
    <row r="74" spans="1:19" x14ac:dyDescent="0.25">
      <c r="A74" s="31"/>
      <c r="Q74" s="32"/>
    </row>
    <row r="75" spans="1:19" ht="15.75" thickBot="1" x14ac:dyDescent="0.3">
      <c r="A75" s="33"/>
      <c r="B75" s="34"/>
      <c r="C75" s="34"/>
      <c r="D75" s="34"/>
      <c r="E75" s="34"/>
      <c r="F75" s="34"/>
      <c r="G75" s="34"/>
      <c r="H75" s="34"/>
      <c r="I75" s="34"/>
      <c r="J75" s="34"/>
      <c r="K75" s="35" t="s">
        <v>24</v>
      </c>
      <c r="L75" s="36">
        <f>SUM(L73+L65)</f>
        <v>50530.59</v>
      </c>
      <c r="M75" s="36">
        <f>SUM(M73+M65)</f>
        <v>65689.766999999993</v>
      </c>
      <c r="N75" s="36">
        <f>SUM(N73+N65)</f>
        <v>75795.884999999995</v>
      </c>
      <c r="O75" s="36">
        <f>SUM(O73+O65)</f>
        <v>85902.002999999997</v>
      </c>
      <c r="P75" s="36">
        <f>SUM(P73+P65)</f>
        <v>101061.18</v>
      </c>
      <c r="Q75" s="37"/>
      <c r="S75" s="23">
        <f>M75-L75</f>
        <v>15159.176999999996</v>
      </c>
    </row>
    <row r="77" spans="1:19" ht="15.75" thickBot="1" x14ac:dyDescent="0.3"/>
    <row r="78" spans="1:19" ht="15.75" thickBot="1" x14ac:dyDescent="0.3">
      <c r="K78" s="39" t="s">
        <v>70</v>
      </c>
      <c r="L78" s="40">
        <f>SUM(L75+L59+L50)</f>
        <v>558270.9</v>
      </c>
      <c r="M78" s="40">
        <f>SUM(M75+M59+M50)</f>
        <v>725752.17</v>
      </c>
      <c r="N78" s="40">
        <f>SUM(N75+N59+N50)</f>
        <v>837406.35</v>
      </c>
      <c r="O78" s="40">
        <f>SUM(O75+O59+O50)</f>
        <v>949060.53</v>
      </c>
      <c r="P78" s="40">
        <f>SUM(P75+P59+P50)</f>
        <v>1116541.8</v>
      </c>
      <c r="Q78" s="41"/>
    </row>
    <row r="79" spans="1:19" ht="15.75" thickBot="1" x14ac:dyDescent="0.3"/>
    <row r="80" spans="1:19" ht="15.75" thickBot="1" x14ac:dyDescent="0.3">
      <c r="K80" s="39" t="s">
        <v>91</v>
      </c>
      <c r="L80" s="40">
        <f>L78*(1+$W$2)</f>
        <v>642011.53500000003</v>
      </c>
      <c r="M80" s="40">
        <f>M78*(1+$W$2)</f>
        <v>834614.99549999996</v>
      </c>
      <c r="N80" s="40">
        <f>N78*(1+$W$2)</f>
        <v>963017.30249999987</v>
      </c>
      <c r="O80" s="40">
        <f>O78*(1+$W$2)</f>
        <v>1091419.6095</v>
      </c>
      <c r="P80" s="40">
        <f>P78*(1+$W$2)</f>
        <v>1284023.07</v>
      </c>
      <c r="Q80" s="41"/>
    </row>
  </sheetData>
  <mergeCells count="13">
    <mergeCell ref="A1:Q1"/>
    <mergeCell ref="A28:Q28"/>
    <mergeCell ref="A38:Q38"/>
    <mergeCell ref="C40:I40"/>
    <mergeCell ref="A44:Q44"/>
    <mergeCell ref="A68:Q68"/>
    <mergeCell ref="C45:I45"/>
    <mergeCell ref="A53:Q53"/>
    <mergeCell ref="C39:I39"/>
    <mergeCell ref="A62:Q62"/>
    <mergeCell ref="C64:I64"/>
    <mergeCell ref="C63:I63"/>
    <mergeCell ref="C46:I46"/>
  </mergeCells>
  <pageMargins left="0.511811024" right="0.511811024" top="0.78740157499999996" bottom="0.78740157499999996" header="0.31496062000000002" footer="0.31496062000000002"/>
  <pageSetup paperSize="9" scale="3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38696-6197-4CEF-BA7B-3847CD4EC225}">
  <dimension ref="A1:Q16"/>
  <sheetViews>
    <sheetView workbookViewId="0">
      <selection sqref="A1:O8"/>
    </sheetView>
  </sheetViews>
  <sheetFormatPr defaultRowHeight="15" x14ac:dyDescent="0.25"/>
  <cols>
    <col min="1" max="1" width="15.42578125" customWidth="1"/>
    <col min="2" max="2" width="11" customWidth="1"/>
    <col min="3" max="3" width="11.42578125" customWidth="1"/>
    <col min="4" max="4" width="14.85546875" customWidth="1"/>
    <col min="5" max="5" width="18.85546875" customWidth="1"/>
    <col min="6" max="6" width="15" bestFit="1" customWidth="1"/>
    <col min="7" max="7" width="14.140625" customWidth="1"/>
    <col min="8" max="8" width="12.7109375" customWidth="1"/>
    <col min="9" max="9" width="19.85546875" customWidth="1"/>
    <col min="10" max="10" width="23.28515625" customWidth="1"/>
    <col min="11" max="11" width="21.28515625" customWidth="1"/>
    <col min="12" max="12" width="16.42578125" customWidth="1"/>
    <col min="13" max="13" width="14.85546875" customWidth="1"/>
    <col min="14" max="14" width="24.140625" bestFit="1" customWidth="1"/>
    <col min="15" max="15" width="13.42578125" bestFit="1" customWidth="1"/>
    <col min="17" max="17" width="55.85546875" customWidth="1"/>
  </cols>
  <sheetData>
    <row r="1" spans="1:17" ht="18.75" x14ac:dyDescent="0.3">
      <c r="A1" s="75" t="s">
        <v>25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1" t="s">
        <v>26</v>
      </c>
    </row>
    <row r="2" spans="1:17" x14ac:dyDescent="0.25">
      <c r="A2" s="1" t="s">
        <v>10</v>
      </c>
      <c r="B2" s="1" t="s">
        <v>11</v>
      </c>
      <c r="C2" s="1" t="s">
        <v>12</v>
      </c>
      <c r="D2" s="1" t="s">
        <v>13</v>
      </c>
      <c r="E2" s="1" t="s">
        <v>14</v>
      </c>
      <c r="F2" s="1" t="s">
        <v>16</v>
      </c>
      <c r="G2" s="1" t="s">
        <v>15</v>
      </c>
      <c r="H2" s="1" t="s">
        <v>17</v>
      </c>
      <c r="I2" s="1" t="s">
        <v>18</v>
      </c>
      <c r="J2" s="1" t="s">
        <v>19</v>
      </c>
      <c r="K2" s="1" t="s">
        <v>20</v>
      </c>
      <c r="L2" s="1" t="s">
        <v>21</v>
      </c>
      <c r="M2" s="1" t="s">
        <v>26</v>
      </c>
      <c r="N2" s="1" t="s">
        <v>27</v>
      </c>
      <c r="O2" s="1" t="s">
        <v>22</v>
      </c>
      <c r="P2" s="7">
        <v>0.5</v>
      </c>
    </row>
    <row r="3" spans="1:17" x14ac:dyDescent="0.25">
      <c r="A3" s="5">
        <v>45850</v>
      </c>
      <c r="B3" s="2" t="s">
        <v>23</v>
      </c>
      <c r="C3" s="2">
        <v>188.53</v>
      </c>
      <c r="D3" s="2">
        <v>100</v>
      </c>
      <c r="E3" s="2">
        <v>150</v>
      </c>
      <c r="F3" s="2">
        <v>20</v>
      </c>
      <c r="G3" s="2">
        <v>50</v>
      </c>
      <c r="H3" s="2">
        <v>40</v>
      </c>
      <c r="I3" s="2">
        <v>1000</v>
      </c>
      <c r="J3" s="2">
        <v>200</v>
      </c>
      <c r="K3" s="2">
        <v>100</v>
      </c>
      <c r="L3" s="4">
        <f>SUM(C3:K3)</f>
        <v>1848.53</v>
      </c>
      <c r="M3" s="7">
        <v>0.5</v>
      </c>
      <c r="N3" s="4">
        <f>L3*(1+M3)</f>
        <v>2772.7950000000001</v>
      </c>
      <c r="O3" s="2"/>
    </row>
    <row r="4" spans="1:17" x14ac:dyDescent="0.25">
      <c r="A4" s="5">
        <v>45851</v>
      </c>
      <c r="B4" s="2" t="s">
        <v>23</v>
      </c>
      <c r="C4" s="2">
        <v>188.53</v>
      </c>
      <c r="D4" s="2">
        <v>100</v>
      </c>
      <c r="E4" s="2">
        <v>150</v>
      </c>
      <c r="F4" s="2">
        <v>20</v>
      </c>
      <c r="G4" s="2">
        <v>50</v>
      </c>
      <c r="H4" s="2">
        <v>40</v>
      </c>
      <c r="I4" s="2">
        <v>1000</v>
      </c>
      <c r="J4" s="2">
        <v>200</v>
      </c>
      <c r="K4" s="2">
        <v>100</v>
      </c>
      <c r="L4" s="4">
        <f>SUM(C4:K4)</f>
        <v>1848.53</v>
      </c>
      <c r="M4" s="7">
        <v>0.5</v>
      </c>
      <c r="N4" s="4">
        <f t="shared" ref="N4:N5" si="0">L4*(1+M4)</f>
        <v>2772.7950000000001</v>
      </c>
      <c r="O4" s="2"/>
    </row>
    <row r="5" spans="1:17" x14ac:dyDescent="0.25">
      <c r="A5" s="5">
        <v>45852</v>
      </c>
      <c r="B5" s="2" t="s">
        <v>23</v>
      </c>
      <c r="C5" s="2">
        <v>188.53</v>
      </c>
      <c r="D5" s="2">
        <v>100</v>
      </c>
      <c r="E5" s="2">
        <v>150</v>
      </c>
      <c r="F5" s="2">
        <v>20</v>
      </c>
      <c r="G5" s="2">
        <v>50</v>
      </c>
      <c r="H5" s="2">
        <v>40</v>
      </c>
      <c r="I5" s="2">
        <v>1000</v>
      </c>
      <c r="J5" s="2">
        <v>200</v>
      </c>
      <c r="K5" s="6">
        <v>100</v>
      </c>
      <c r="L5" s="4">
        <f>SUM(C5:K5)</f>
        <v>1848.53</v>
      </c>
      <c r="M5" s="7">
        <v>0.5</v>
      </c>
      <c r="N5" s="4">
        <f t="shared" si="0"/>
        <v>2772.7950000000001</v>
      </c>
      <c r="O5" s="2"/>
    </row>
    <row r="6" spans="1:17" x14ac:dyDescent="0.25">
      <c r="A6" s="5">
        <v>45853</v>
      </c>
      <c r="B6" s="2" t="s">
        <v>23</v>
      </c>
      <c r="C6" s="2">
        <v>188.53</v>
      </c>
      <c r="D6" s="2">
        <v>100</v>
      </c>
      <c r="E6" s="2"/>
      <c r="F6" s="2">
        <v>20</v>
      </c>
      <c r="G6" s="2">
        <v>50</v>
      </c>
      <c r="H6" s="2"/>
      <c r="I6" s="2">
        <v>1000</v>
      </c>
      <c r="J6" s="2">
        <v>200</v>
      </c>
      <c r="K6" s="6">
        <v>100</v>
      </c>
      <c r="L6" s="4">
        <f>SUM(C6:K6)</f>
        <v>1658.53</v>
      </c>
      <c r="M6" s="7">
        <v>0.5</v>
      </c>
      <c r="N6" s="4">
        <f t="shared" ref="N6" si="1">L6*(1+M6)</f>
        <v>2487.7950000000001</v>
      </c>
      <c r="O6" s="2"/>
    </row>
    <row r="7" spans="1:17" x14ac:dyDescent="0.25">
      <c r="L7" s="2" t="s">
        <v>24</v>
      </c>
      <c r="M7" s="2"/>
      <c r="N7" s="4">
        <f>SUM(N2:N6)</f>
        <v>10806.18</v>
      </c>
      <c r="O7" s="2"/>
    </row>
    <row r="8" spans="1:17" ht="18.75" x14ac:dyDescent="0.3">
      <c r="A8" s="75" t="s">
        <v>45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7" x14ac:dyDescent="0.25">
      <c r="A9" s="1" t="s">
        <v>10</v>
      </c>
      <c r="B9" s="1" t="s">
        <v>11</v>
      </c>
      <c r="C9" s="1" t="s">
        <v>46</v>
      </c>
    </row>
    <row r="10" spans="1:17" x14ac:dyDescent="0.25">
      <c r="C10" s="1"/>
    </row>
    <row r="12" spans="1:17" ht="18.75" x14ac:dyDescent="0.3">
      <c r="A12" s="75" t="s">
        <v>28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7" ht="30.75" customHeight="1" x14ac:dyDescent="0.25">
      <c r="A13" s="14" t="s">
        <v>29</v>
      </c>
      <c r="B13" s="76" t="s">
        <v>32</v>
      </c>
      <c r="C13" s="76"/>
      <c r="D13" s="76"/>
      <c r="E13" s="76" t="s">
        <v>43</v>
      </c>
      <c r="F13" s="76"/>
      <c r="G13" s="76"/>
      <c r="H13" s="76" t="s">
        <v>34</v>
      </c>
      <c r="I13" s="76"/>
      <c r="J13" s="14" t="s">
        <v>41</v>
      </c>
      <c r="K13" s="14" t="s">
        <v>36</v>
      </c>
      <c r="L13" s="14" t="s">
        <v>42</v>
      </c>
      <c r="M13" s="14" t="s">
        <v>38</v>
      </c>
      <c r="N13" s="14" t="s">
        <v>39</v>
      </c>
      <c r="O13" s="76" t="s">
        <v>22</v>
      </c>
      <c r="P13" s="76"/>
      <c r="Q13" s="76"/>
    </row>
    <row r="14" spans="1:17" ht="150.75" customHeight="1" x14ac:dyDescent="0.25">
      <c r="A14" s="10" t="s">
        <v>30</v>
      </c>
      <c r="B14" s="77" t="s">
        <v>31</v>
      </c>
      <c r="C14" s="77"/>
      <c r="D14" s="77"/>
      <c r="E14" s="77" t="s">
        <v>40</v>
      </c>
      <c r="F14" s="77"/>
      <c r="G14" s="77"/>
      <c r="H14" s="77" t="s">
        <v>33</v>
      </c>
      <c r="I14" s="77"/>
      <c r="J14" s="10" t="s">
        <v>35</v>
      </c>
      <c r="K14" s="10" t="s">
        <v>37</v>
      </c>
      <c r="L14" s="11">
        <v>610</v>
      </c>
      <c r="M14" s="12">
        <v>10</v>
      </c>
      <c r="N14" s="13">
        <f>L14*M14</f>
        <v>6100</v>
      </c>
      <c r="O14" s="77" t="s">
        <v>44</v>
      </c>
      <c r="P14" s="77"/>
      <c r="Q14" s="77"/>
    </row>
    <row r="15" spans="1:17" x14ac:dyDescent="0.25">
      <c r="L15" s="8" t="s">
        <v>24</v>
      </c>
      <c r="M15" s="8"/>
      <c r="N15" s="9">
        <f>SUM(O16+N7)</f>
        <v>19956.18</v>
      </c>
    </row>
    <row r="16" spans="1:17" x14ac:dyDescent="0.25">
      <c r="O16">
        <f>N14*(1+P2)</f>
        <v>9150</v>
      </c>
    </row>
  </sheetData>
  <mergeCells count="11">
    <mergeCell ref="A1:O1"/>
    <mergeCell ref="A12:O12"/>
    <mergeCell ref="H13:I13"/>
    <mergeCell ref="H14:I14"/>
    <mergeCell ref="E13:G13"/>
    <mergeCell ref="E14:G14"/>
    <mergeCell ref="B14:D14"/>
    <mergeCell ref="B13:D13"/>
    <mergeCell ref="O14:Q14"/>
    <mergeCell ref="O13:Q13"/>
    <mergeCell ref="A8:O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Sheet1</vt:lpstr>
      <vt:lpstr>Planilha1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</dc:creator>
  <cp:lastModifiedBy>antonio santos</cp:lastModifiedBy>
  <cp:lastPrinted>2025-08-15T18:53:41Z</cp:lastPrinted>
  <dcterms:created xsi:type="dcterms:W3CDTF">2025-08-11T17:22:27Z</dcterms:created>
  <dcterms:modified xsi:type="dcterms:W3CDTF">2025-10-01T19:04:47Z</dcterms:modified>
</cp:coreProperties>
</file>